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7.xml" ContentType="application/vnd.openxmlformats-officedocument.drawing+xml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10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11.xml" ContentType="application/vnd.openxmlformats-officedocument.drawing+xml"/>
  <Override PartName="/xl/embeddings/oleObject13.bin" ContentType="application/vnd.openxmlformats-officedocument.oleObject"/>
  <Override PartName="/xl/drawings/drawing12.xml" ContentType="application/vnd.openxmlformats-officedocument.drawing+xml"/>
  <Override PartName="/xl/drawings/drawing13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8\Febrero\Documentos finales\"/>
    </mc:Choice>
  </mc:AlternateContent>
  <bookViews>
    <workbookView xWindow="0" yWindow="0" windowWidth="15520" windowHeight="6950" tabRatio="839" firstSheet="1" activeTab="7"/>
  </bookViews>
  <sheets>
    <sheet name="Consolidado Resultados" sheetId="1" r:id="rId1"/>
    <sheet name=" Consolidado Balance" sheetId="4" r:id="rId2"/>
    <sheet name="Consolidado Resultados Ajustes" sheetId="10" state="hidden" r:id="rId3"/>
    <sheet name="Consolidado Trim Ajustes" sheetId="12" state="hidden" r:id="rId4"/>
    <sheet name="Consolidado Resultados Orgánico" sheetId="14" state="hidden" r:id="rId5"/>
    <sheet name="FEMSA Comercio-Div Comercial" sheetId="20" r:id="rId6"/>
    <sheet name="FEMSA Comercio-Div Salud" sheetId="25" r:id="rId7"/>
    <sheet name="FEMSA Comercio-Div Combustibles" sheetId="24" r:id="rId8"/>
    <sheet name="FEMCO Comercial Org" sheetId="22" state="hidden" r:id="rId9"/>
    <sheet name="FEMCO OXXO" sheetId="23" state="hidden" r:id="rId10"/>
    <sheet name="Coca-Cola FEMSA" sheetId="7" r:id="rId11"/>
    <sheet name="Otros indicadores" sheetId="13" r:id="rId12"/>
    <sheet name="Variaciones" sheetId="15" state="hidden" r:id="rId13"/>
  </sheets>
  <definedNames>
    <definedName name="ebitdaprom" localSheetId="8">#REF!,#REF!,#REF!,#REF!,#REF!,#REF!</definedName>
    <definedName name="ebitdaprom" localSheetId="9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>#REF!,#REF!,#REF!,#REF!,#REF!,#REF!</definedName>
    <definedName name="_xlnm.Print_Area" localSheetId="1">' Consolidado Balance'!$A$1:$H$52</definedName>
    <definedName name="_xlnm.Print_Area" localSheetId="10">'Coca-Cola FEMSA'!$A$1:$O$30</definedName>
    <definedName name="_xlnm.Print_Area" localSheetId="0">'Consolidado Resultados'!$A$1:$O$50</definedName>
    <definedName name="_xlnm.Print_Area" localSheetId="2">'Consolidado Resultados Ajustes'!$A$1:$E$77</definedName>
    <definedName name="_xlnm.Print_Area" localSheetId="4">'Consolidado Resultados Orgánico'!$A$1:$O$40</definedName>
    <definedName name="_xlnm.Print_Area" localSheetId="8">'FEMCO Comercial Org'!$A$1:$J$20</definedName>
    <definedName name="_xlnm.Print_Area" localSheetId="9">'FEMCO OXXO'!$A$1:$M$20</definedName>
    <definedName name="_xlnm.Print_Area" localSheetId="7">'FEMSA Comercio-Div Combustibles'!$A$1:$M$34</definedName>
    <definedName name="_xlnm.Print_Area" localSheetId="5">'FEMSA Comercio-Div Comercial'!$A$1:$M$32</definedName>
    <definedName name="_xlnm.Print_Area" localSheetId="6">'FEMSA Comercio-Div Salud'!$A$1:$M$31</definedName>
    <definedName name="_xlnm.Print_Area" localSheetId="11">'Otros indicadores'!$A$1:$K$17</definedName>
    <definedName name="_xlnm.Print_Area" localSheetId="12">Variaciones!$A$1:$V$49</definedName>
  </definedNames>
  <calcPr calcId="171027"/>
</workbook>
</file>

<file path=xl/calcChain.xml><?xml version="1.0" encoding="utf-8"?>
<calcChain xmlns="http://schemas.openxmlformats.org/spreadsheetml/2006/main">
  <c r="D13" i="12" l="1"/>
  <c r="F15" i="22" l="1"/>
  <c r="E9" i="22"/>
  <c r="E32" i="14"/>
  <c r="M53" i="14"/>
  <c r="M54" i="14" s="1"/>
  <c r="M45" i="14"/>
  <c r="M46" i="14" s="1"/>
  <c r="E37" i="15"/>
  <c r="E31" i="15"/>
  <c r="E45" i="14"/>
  <c r="E46" i="14" s="1"/>
  <c r="J6" i="14"/>
  <c r="J42" i="14" s="1"/>
  <c r="C6" i="14"/>
  <c r="C42" i="14" s="1"/>
  <c r="D21" i="12"/>
  <c r="C6" i="23"/>
  <c r="C6" i="22"/>
  <c r="E7" i="23"/>
  <c r="C7" i="23"/>
  <c r="E7" i="22"/>
  <c r="C7" i="22"/>
  <c r="N8" i="22"/>
  <c r="L8" i="22"/>
  <c r="D25" i="12"/>
  <c r="L36" i="15"/>
  <c r="G14" i="14"/>
  <c r="G13" i="14"/>
  <c r="J35" i="14"/>
  <c r="J31" i="14"/>
  <c r="J27" i="14"/>
  <c r="J28" i="14" s="1"/>
  <c r="L8" i="14"/>
  <c r="J8" i="14"/>
  <c r="J34" i="14"/>
  <c r="J30" i="14"/>
  <c r="J41" i="15"/>
  <c r="J12" i="15"/>
  <c r="J13" i="15"/>
  <c r="J14" i="15"/>
  <c r="J15" i="15"/>
  <c r="J16" i="15"/>
  <c r="J17" i="15"/>
  <c r="J19" i="15"/>
  <c r="J20" i="15"/>
  <c r="K38" i="15"/>
  <c r="L34" i="14"/>
  <c r="L35" i="14" s="1"/>
  <c r="N35" i="14" s="1"/>
  <c r="L30" i="14"/>
  <c r="L31" i="14" s="1"/>
  <c r="K39" i="15"/>
  <c r="D13" i="10"/>
  <c r="C29" i="15"/>
  <c r="E28" i="15"/>
  <c r="E20" i="15"/>
  <c r="D20" i="15"/>
  <c r="E19" i="15"/>
  <c r="D19" i="15"/>
  <c r="E16" i="15"/>
  <c r="D16" i="15"/>
  <c r="E15" i="15"/>
  <c r="D15" i="15"/>
  <c r="E13" i="15"/>
  <c r="D13" i="15"/>
  <c r="E12" i="15"/>
  <c r="D12" i="15"/>
  <c r="I18" i="15"/>
  <c r="I21" i="15" s="1"/>
  <c r="K18" i="15"/>
  <c r="K21" i="15" s="1"/>
  <c r="E34" i="15"/>
  <c r="E29" i="15"/>
  <c r="E9" i="14"/>
  <c r="F9" i="14" s="1"/>
  <c r="E35" i="15"/>
  <c r="K31" i="15"/>
  <c r="K35" i="15"/>
  <c r="K36" i="15" s="1"/>
  <c r="K29" i="15"/>
  <c r="K32" i="15"/>
  <c r="K37" i="15"/>
  <c r="K33" i="15"/>
  <c r="K30" i="15"/>
  <c r="E56" i="12"/>
  <c r="E76" i="10"/>
  <c r="D18" i="10"/>
  <c r="D16" i="12"/>
  <c r="D17" i="12" s="1"/>
  <c r="F8" i="22"/>
  <c r="D8" i="22"/>
  <c r="F14" i="22"/>
  <c r="D17" i="15" l="1"/>
  <c r="D14" i="15"/>
  <c r="E14" i="15"/>
  <c r="E18" i="15" s="1"/>
  <c r="E21" i="15" s="1"/>
  <c r="E17" i="15"/>
  <c r="H17" i="15" s="1"/>
  <c r="L41" i="15"/>
  <c r="L17" i="22"/>
  <c r="G18" i="14"/>
  <c r="J36" i="14"/>
  <c r="N10" i="22"/>
  <c r="L13" i="22"/>
  <c r="D19" i="10"/>
  <c r="D28" i="10" s="1"/>
  <c r="D31" i="10" s="1"/>
  <c r="D32" i="10" s="1"/>
  <c r="K9" i="22"/>
  <c r="O14" i="22"/>
  <c r="M31" i="15"/>
  <c r="N17" i="22"/>
  <c r="N9" i="22"/>
  <c r="G17" i="14"/>
  <c r="N31" i="14"/>
  <c r="J32" i="14"/>
  <c r="N17" i="14"/>
  <c r="J19" i="14"/>
  <c r="E15" i="14"/>
  <c r="M40" i="15"/>
  <c r="L15" i="14"/>
  <c r="L23" i="14"/>
  <c r="N14" i="14"/>
  <c r="N22" i="14"/>
  <c r="N11" i="22"/>
  <c r="M12" i="22"/>
  <c r="O12" i="22" s="1"/>
  <c r="N15" i="22"/>
  <c r="G21" i="14"/>
  <c r="G10" i="22"/>
  <c r="G15" i="22"/>
  <c r="F10" i="22"/>
  <c r="F9" i="22" s="1"/>
  <c r="I34" i="14"/>
  <c r="E30" i="15"/>
  <c r="K40" i="15"/>
  <c r="F20" i="15"/>
  <c r="L40" i="15"/>
  <c r="H19" i="15"/>
  <c r="Q19" i="15" s="1"/>
  <c r="C23" i="14"/>
  <c r="F13" i="15"/>
  <c r="H20" i="15"/>
  <c r="N20" i="15" s="1"/>
  <c r="K41" i="15"/>
  <c r="N13" i="22"/>
  <c r="G13" i="22"/>
  <c r="N34" i="14"/>
  <c r="N21" i="14"/>
  <c r="F12" i="15"/>
  <c r="H13" i="15"/>
  <c r="P13" i="15" s="1"/>
  <c r="H16" i="15"/>
  <c r="Q16" i="15" s="1"/>
  <c r="J18" i="15"/>
  <c r="J21" i="15" s="1"/>
  <c r="H12" i="15"/>
  <c r="P12" i="15" s="1"/>
  <c r="H15" i="15"/>
  <c r="S15" i="15" s="1"/>
  <c r="F19" i="15"/>
  <c r="L31" i="15"/>
  <c r="M41" i="15"/>
  <c r="L14" i="22"/>
  <c r="O8" i="22"/>
  <c r="O10" i="22"/>
  <c r="O13" i="22"/>
  <c r="N14" i="22"/>
  <c r="L10" i="22"/>
  <c r="L9" i="22" s="1"/>
  <c r="K16" i="22"/>
  <c r="O11" i="22"/>
  <c r="O15" i="22"/>
  <c r="M16" i="22"/>
  <c r="N30" i="14"/>
  <c r="C15" i="14"/>
  <c r="J15" i="14"/>
  <c r="J23" i="14"/>
  <c r="N18" i="14"/>
  <c r="G22" i="14"/>
  <c r="F14" i="15"/>
  <c r="D18" i="15"/>
  <c r="F15" i="15"/>
  <c r="F16" i="15"/>
  <c r="L11" i="22"/>
  <c r="M9" i="22"/>
  <c r="O17" i="22"/>
  <c r="L15" i="22"/>
  <c r="N13" i="14"/>
  <c r="L19" i="14"/>
  <c r="C19" i="14"/>
  <c r="H30" i="14"/>
  <c r="D26" i="12"/>
  <c r="D29" i="12" s="1"/>
  <c r="D30" i="12" s="1"/>
  <c r="U49" i="14"/>
  <c r="U50" i="14" s="1"/>
  <c r="D52" i="12"/>
  <c r="D54" i="12" s="1"/>
  <c r="C36" i="14"/>
  <c r="U45" i="14"/>
  <c r="U46" i="14" s="1"/>
  <c r="F13" i="22"/>
  <c r="E53" i="14"/>
  <c r="E54" i="14" s="1"/>
  <c r="E33" i="15"/>
  <c r="E11" i="14"/>
  <c r="F11" i="14" s="1"/>
  <c r="E49" i="14"/>
  <c r="E50" i="14" s="1"/>
  <c r="E10" i="14"/>
  <c r="F10" i="14" s="1"/>
  <c r="L9" i="14"/>
  <c r="M9" i="14" s="1"/>
  <c r="E38" i="15"/>
  <c r="G27" i="14"/>
  <c r="E28" i="14"/>
  <c r="G35" i="14"/>
  <c r="E36" i="14"/>
  <c r="H34" i="14"/>
  <c r="C12" i="22"/>
  <c r="G26" i="14"/>
  <c r="E36" i="15"/>
  <c r="M49" i="14"/>
  <c r="M50" i="14" s="1"/>
  <c r="I30" i="14"/>
  <c r="C28" i="14"/>
  <c r="U53" i="14"/>
  <c r="L10" i="14"/>
  <c r="G30" i="14"/>
  <c r="E32" i="15"/>
  <c r="L11" i="14"/>
  <c r="D14" i="22"/>
  <c r="N77" i="14"/>
  <c r="L40" i="14"/>
  <c r="L38" i="14"/>
  <c r="C9" i="22"/>
  <c r="G9" i="22" s="1"/>
  <c r="D17" i="22"/>
  <c r="G8" i="22"/>
  <c r="D11" i="22"/>
  <c r="D13" i="22"/>
  <c r="L27" i="14"/>
  <c r="N27" i="14" s="1"/>
  <c r="N26" i="14"/>
  <c r="G11" i="22"/>
  <c r="E12" i="22"/>
  <c r="C32" i="14"/>
  <c r="G31" i="14"/>
  <c r="C16" i="22"/>
  <c r="G14" i="22"/>
  <c r="F17" i="22"/>
  <c r="F16" i="22" s="1"/>
  <c r="E16" i="22"/>
  <c r="G17" i="22"/>
  <c r="F11" i="22"/>
  <c r="G34" i="14"/>
  <c r="D10" i="22"/>
  <c r="D9" i="22" s="1"/>
  <c r="D15" i="22"/>
  <c r="H14" i="15" l="1"/>
  <c r="F17" i="15"/>
  <c r="R13" i="15"/>
  <c r="T13" i="15"/>
  <c r="O9" i="22"/>
  <c r="P17" i="15"/>
  <c r="S17" i="15"/>
  <c r="T17" i="15"/>
  <c r="T12" i="15"/>
  <c r="R17" i="15"/>
  <c r="N13" i="15"/>
  <c r="V13" i="15" s="1"/>
  <c r="Q13" i="15"/>
  <c r="N12" i="15"/>
  <c r="V12" i="15" s="1"/>
  <c r="Q17" i="15"/>
  <c r="U17" i="15"/>
  <c r="Q15" i="15"/>
  <c r="R16" i="15"/>
  <c r="N17" i="15"/>
  <c r="V17" i="15" s="1"/>
  <c r="N16" i="22"/>
  <c r="U15" i="15"/>
  <c r="N16" i="15"/>
  <c r="V16" i="15" s="1"/>
  <c r="L16" i="22"/>
  <c r="P16" i="15"/>
  <c r="N19" i="15"/>
  <c r="V19" i="15" s="1"/>
  <c r="U19" i="15"/>
  <c r="R19" i="15"/>
  <c r="P19" i="15"/>
  <c r="U12" i="15"/>
  <c r="S16" i="15"/>
  <c r="S19" i="15"/>
  <c r="L39" i="14"/>
  <c r="N12" i="22"/>
  <c r="E38" i="14"/>
  <c r="R15" i="15"/>
  <c r="T19" i="15"/>
  <c r="N15" i="15"/>
  <c r="V15" i="15" s="1"/>
  <c r="S12" i="15"/>
  <c r="Q12" i="15"/>
  <c r="T16" i="15"/>
  <c r="U16" i="15"/>
  <c r="R12" i="15"/>
  <c r="U13" i="15"/>
  <c r="P15" i="15"/>
  <c r="T15" i="15"/>
  <c r="S13" i="15"/>
  <c r="L12" i="22"/>
  <c r="O16" i="22"/>
  <c r="D21" i="15"/>
  <c r="F18" i="15"/>
  <c r="R14" i="15"/>
  <c r="T14" i="15"/>
  <c r="Q14" i="15"/>
  <c r="U14" i="15"/>
  <c r="P14" i="15"/>
  <c r="S14" i="15"/>
  <c r="H18" i="15"/>
  <c r="N14" i="15"/>
  <c r="M11" i="14"/>
  <c r="M10" i="14"/>
  <c r="E40" i="14"/>
  <c r="F12" i="22"/>
  <c r="H12" i="22"/>
  <c r="G12" i="22"/>
  <c r="E39" i="15"/>
  <c r="E40" i="15" s="1"/>
  <c r="G16" i="22"/>
  <c r="U54" i="14"/>
  <c r="H11" i="22"/>
  <c r="D12" i="22"/>
  <c r="D16" i="22"/>
  <c r="E39" i="14" l="1"/>
  <c r="N18" i="15"/>
  <c r="V18" i="15" s="1"/>
  <c r="V14" i="15"/>
  <c r="U18" i="15"/>
  <c r="T18" i="15"/>
  <c r="Q18" i="15"/>
  <c r="S18" i="15"/>
  <c r="P18" i="15"/>
  <c r="R18" i="15"/>
  <c r="F21" i="15"/>
  <c r="H21" i="15"/>
  <c r="T21" i="15" l="1"/>
  <c r="P21" i="15"/>
  <c r="U21" i="15"/>
  <c r="S21" i="15"/>
  <c r="N21" i="15"/>
  <c r="V21" i="15" s="1"/>
  <c r="Q21" i="15"/>
  <c r="R21" i="15"/>
  <c r="D72" i="10" l="1"/>
  <c r="D74" i="10" l="1"/>
  <c r="D8" i="23" l="1"/>
  <c r="L15" i="23" l="1"/>
  <c r="L13" i="23" l="1"/>
  <c r="E29" i="10"/>
  <c r="E14" i="10"/>
  <c r="E12" i="10"/>
  <c r="E24" i="10"/>
  <c r="E33" i="10"/>
  <c r="E30" i="10"/>
  <c r="E16" i="10"/>
  <c r="E73" i="10"/>
  <c r="E15" i="10"/>
  <c r="E26" i="10"/>
  <c r="E22" i="10"/>
  <c r="E25" i="10"/>
  <c r="F11" i="23"/>
  <c r="F15" i="23"/>
  <c r="S45" i="14"/>
  <c r="I12" i="23"/>
  <c r="L14" i="23"/>
  <c r="C12" i="23"/>
  <c r="F14" i="23"/>
  <c r="F13" i="23"/>
  <c r="K9" i="23"/>
  <c r="L8" i="23"/>
  <c r="D15" i="23"/>
  <c r="G15" i="23"/>
  <c r="E12" i="23"/>
  <c r="F10" i="23"/>
  <c r="J10" i="23"/>
  <c r="M10" i="23"/>
  <c r="M11" i="23"/>
  <c r="J11" i="23"/>
  <c r="M15" i="23"/>
  <c r="J15" i="23"/>
  <c r="D10" i="23"/>
  <c r="G10" i="23"/>
  <c r="C9" i="23"/>
  <c r="I9" i="23"/>
  <c r="M8" i="23"/>
  <c r="J8" i="23"/>
  <c r="E9" i="23"/>
  <c r="F8" i="23"/>
  <c r="G8" i="23"/>
  <c r="J13" i="23"/>
  <c r="M13" i="23"/>
  <c r="D13" i="23"/>
  <c r="G13" i="23"/>
  <c r="L10" i="23"/>
  <c r="D11" i="23"/>
  <c r="G11" i="23"/>
  <c r="L11" i="23"/>
  <c r="K12" i="23" l="1"/>
  <c r="J9" i="23"/>
  <c r="C13" i="10"/>
  <c r="E11" i="10"/>
  <c r="F14" i="10" s="1"/>
  <c r="F15" i="10" s="1"/>
  <c r="C18" i="10"/>
  <c r="E17" i="10"/>
  <c r="H30" i="10"/>
  <c r="E21" i="10"/>
  <c r="C23" i="10"/>
  <c r="E75" i="10"/>
  <c r="S46" i="14"/>
  <c r="W46" i="14" s="1"/>
  <c r="W45" i="14"/>
  <c r="S53" i="14"/>
  <c r="S49" i="14"/>
  <c r="I16" i="23"/>
  <c r="J17" i="23"/>
  <c r="M17" i="23"/>
  <c r="E16" i="23"/>
  <c r="F17" i="23"/>
  <c r="F16" i="23" s="1"/>
  <c r="G12" i="23"/>
  <c r="G17" i="23"/>
  <c r="D17" i="23"/>
  <c r="C16" i="23"/>
  <c r="G16" i="23" s="1"/>
  <c r="M9" i="23"/>
  <c r="D9" i="23"/>
  <c r="M12" i="23"/>
  <c r="M14" i="23"/>
  <c r="J14" i="23"/>
  <c r="J12" i="23" s="1"/>
  <c r="L12" i="23"/>
  <c r="G9" i="23"/>
  <c r="F9" i="23"/>
  <c r="F12" i="23"/>
  <c r="L9" i="23"/>
  <c r="D14" i="23"/>
  <c r="D12" i="23" s="1"/>
  <c r="G14" i="23"/>
  <c r="K16" i="23"/>
  <c r="L17" i="23"/>
  <c r="L16" i="23" s="1"/>
  <c r="E18" i="10" l="1"/>
  <c r="H18" i="10"/>
  <c r="I18" i="10" s="1"/>
  <c r="F73" i="10"/>
  <c r="F11" i="10"/>
  <c r="E13" i="10"/>
  <c r="C19" i="10"/>
  <c r="E20" i="10"/>
  <c r="H20" i="10" s="1"/>
  <c r="F75" i="10"/>
  <c r="E23" i="10"/>
  <c r="C27" i="10"/>
  <c r="E27" i="10" s="1"/>
  <c r="S50" i="14"/>
  <c r="W50" i="14" s="1"/>
  <c r="W49" i="14"/>
  <c r="S54" i="14"/>
  <c r="W54" i="14" s="1"/>
  <c r="W53" i="14"/>
  <c r="M16" i="23"/>
  <c r="D16" i="23"/>
  <c r="J16" i="23"/>
  <c r="I20" i="10" l="1"/>
  <c r="K53" i="14"/>
  <c r="O53" i="14" s="1"/>
  <c r="C72" i="10"/>
  <c r="C28" i="10"/>
  <c r="E19" i="10"/>
  <c r="K45" i="14"/>
  <c r="O45" i="14" s="1"/>
  <c r="F13" i="10"/>
  <c r="F12" i="10" s="1"/>
  <c r="E72" i="10" l="1"/>
  <c r="C74" i="10"/>
  <c r="E74" i="10" s="1"/>
  <c r="F19" i="10"/>
  <c r="F72" i="10" s="1"/>
  <c r="F74" i="10" s="1"/>
  <c r="N11" i="14"/>
  <c r="K11" i="14"/>
  <c r="N9" i="14"/>
  <c r="K9" i="14"/>
  <c r="E28" i="10"/>
  <c r="C31" i="10"/>
  <c r="H28" i="10" l="1"/>
  <c r="K49" i="14"/>
  <c r="O49" i="14" s="1"/>
  <c r="C32" i="10"/>
  <c r="E32" i="10" s="1"/>
  <c r="E31" i="10"/>
  <c r="N10" i="14" l="1"/>
  <c r="K10" i="14"/>
  <c r="E10" i="12" l="1"/>
  <c r="E28" i="12"/>
  <c r="E31" i="12"/>
  <c r="K50" i="14"/>
  <c r="K46" i="14"/>
  <c r="K54" i="14"/>
  <c r="E13" i="12" l="1"/>
  <c r="E23" i="12"/>
  <c r="E20" i="12"/>
  <c r="E22" i="12"/>
  <c r="E14" i="12"/>
  <c r="E12" i="12"/>
  <c r="E19" i="12"/>
  <c r="D30" i="15"/>
  <c r="C11" i="12"/>
  <c r="E9" i="12"/>
  <c r="E53" i="12"/>
  <c r="E24" i="12"/>
  <c r="I37" i="15"/>
  <c r="J38" i="14"/>
  <c r="N38" i="14" s="1"/>
  <c r="O46" i="14"/>
  <c r="J40" i="14"/>
  <c r="N40" i="14" s="1"/>
  <c r="O54" i="14"/>
  <c r="J39" i="14"/>
  <c r="N39" i="14" s="1"/>
  <c r="O50" i="14"/>
  <c r="I29" i="15"/>
  <c r="F28" i="12" l="1"/>
  <c r="F30" i="15"/>
  <c r="H30" i="15"/>
  <c r="D34" i="15"/>
  <c r="F11" i="12"/>
  <c r="C21" i="12"/>
  <c r="E15" i="12"/>
  <c r="C16" i="12"/>
  <c r="E16" i="12" s="1"/>
  <c r="E11" i="12"/>
  <c r="D32" i="15"/>
  <c r="D33" i="15"/>
  <c r="E18" i="12"/>
  <c r="D38" i="15"/>
  <c r="E27" i="12"/>
  <c r="I31" i="15"/>
  <c r="I32" i="15"/>
  <c r="I38" i="15"/>
  <c r="I35" i="15"/>
  <c r="I33" i="15"/>
  <c r="I34" i="15"/>
  <c r="D35" i="15" l="1"/>
  <c r="F18" i="12"/>
  <c r="F32" i="15"/>
  <c r="H32" i="15"/>
  <c r="Q32" i="15" s="1"/>
  <c r="C17" i="12"/>
  <c r="E21" i="12"/>
  <c r="C25" i="12"/>
  <c r="E25" i="12" s="1"/>
  <c r="H34" i="15"/>
  <c r="N34" i="15" s="1"/>
  <c r="F34" i="15"/>
  <c r="D31" i="15"/>
  <c r="P30" i="15"/>
  <c r="U30" i="15"/>
  <c r="S30" i="15"/>
  <c r="T30" i="15"/>
  <c r="H33" i="15"/>
  <c r="N33" i="15" s="1"/>
  <c r="V33" i="15" s="1"/>
  <c r="F33" i="15"/>
  <c r="D36" i="15"/>
  <c r="F36" i="15" s="1"/>
  <c r="D29" i="15"/>
  <c r="C45" i="14"/>
  <c r="H45" i="14" s="1"/>
  <c r="C9" i="14"/>
  <c r="E55" i="12"/>
  <c r="F38" i="15"/>
  <c r="H38" i="15"/>
  <c r="N38" i="15" s="1"/>
  <c r="I36" i="15"/>
  <c r="I39" i="15"/>
  <c r="I30" i="15"/>
  <c r="N32" i="15" l="1"/>
  <c r="V32" i="15" s="1"/>
  <c r="Q33" i="15"/>
  <c r="G45" i="14"/>
  <c r="C46" i="14"/>
  <c r="T33" i="15"/>
  <c r="S33" i="15"/>
  <c r="P33" i="15"/>
  <c r="U33" i="15"/>
  <c r="C52" i="12"/>
  <c r="E17" i="12"/>
  <c r="C26" i="12"/>
  <c r="P32" i="15"/>
  <c r="T32" i="15"/>
  <c r="U32" i="15"/>
  <c r="S32" i="15"/>
  <c r="T34" i="15"/>
  <c r="S34" i="15"/>
  <c r="U34" i="15"/>
  <c r="P34" i="15"/>
  <c r="Q34" i="15"/>
  <c r="G9" i="14"/>
  <c r="D9" i="14"/>
  <c r="H29" i="15"/>
  <c r="F29" i="15"/>
  <c r="F31" i="15"/>
  <c r="H31" i="15"/>
  <c r="H35" i="15"/>
  <c r="F35" i="15"/>
  <c r="S38" i="15"/>
  <c r="P38" i="15"/>
  <c r="U38" i="15"/>
  <c r="T38" i="15"/>
  <c r="C11" i="14"/>
  <c r="C53" i="14"/>
  <c r="Q38" i="15"/>
  <c r="I41" i="15"/>
  <c r="I40" i="15"/>
  <c r="N30" i="15"/>
  <c r="V30" i="15" s="1"/>
  <c r="Q30" i="15"/>
  <c r="V38" i="15"/>
  <c r="V34" i="15"/>
  <c r="I46" i="14" l="1"/>
  <c r="H46" i="14"/>
  <c r="P35" i="15"/>
  <c r="T35" i="15"/>
  <c r="S35" i="15"/>
  <c r="U35" i="15"/>
  <c r="Q35" i="15"/>
  <c r="N35" i="15"/>
  <c r="C49" i="14"/>
  <c r="H49" i="14" s="1"/>
  <c r="D37" i="15"/>
  <c r="C10" i="14"/>
  <c r="T31" i="15"/>
  <c r="S31" i="15"/>
  <c r="P31" i="15"/>
  <c r="U31" i="15"/>
  <c r="N31" i="15"/>
  <c r="V31" i="15" s="1"/>
  <c r="Q31" i="15"/>
  <c r="E52" i="12"/>
  <c r="C54" i="12"/>
  <c r="E54" i="12" s="1"/>
  <c r="P29" i="15"/>
  <c r="U29" i="15"/>
  <c r="S29" i="15"/>
  <c r="T29" i="15"/>
  <c r="Q29" i="15"/>
  <c r="N29" i="15"/>
  <c r="V29" i="15" s="1"/>
  <c r="H36" i="15"/>
  <c r="G46" i="14"/>
  <c r="C38" i="14"/>
  <c r="G38" i="14" s="1"/>
  <c r="E26" i="12"/>
  <c r="C32" i="12"/>
  <c r="C29" i="12"/>
  <c r="D11" i="14"/>
  <c r="G11" i="14"/>
  <c r="C54" i="14"/>
  <c r="G53" i="14"/>
  <c r="F26" i="12" l="1"/>
  <c r="D39" i="15"/>
  <c r="D40" i="15" s="1"/>
  <c r="F40" i="15" s="1"/>
  <c r="F37" i="15"/>
  <c r="H37" i="15"/>
  <c r="U36" i="15"/>
  <c r="S36" i="15"/>
  <c r="T36" i="15"/>
  <c r="P36" i="15"/>
  <c r="Q36" i="15"/>
  <c r="D10" i="14"/>
  <c r="G10" i="14"/>
  <c r="G49" i="14"/>
  <c r="C50" i="14"/>
  <c r="V35" i="15"/>
  <c r="N36" i="15"/>
  <c r="V36" i="15" s="1"/>
  <c r="C30" i="12"/>
  <c r="E30" i="12" s="1"/>
  <c r="E29" i="12"/>
  <c r="G54" i="14"/>
  <c r="C40" i="14"/>
  <c r="I50" i="14" l="1"/>
  <c r="H50" i="14"/>
  <c r="C39" i="14"/>
  <c r="G50" i="14"/>
  <c r="H39" i="15"/>
  <c r="F39" i="15"/>
  <c r="T37" i="15"/>
  <c r="U37" i="15"/>
  <c r="S37" i="15"/>
  <c r="P37" i="15"/>
  <c r="N37" i="15"/>
  <c r="V37" i="15" s="1"/>
  <c r="Q37" i="15"/>
  <c r="I40" i="14"/>
  <c r="G40" i="14"/>
  <c r="H41" i="15" l="1"/>
  <c r="S39" i="15"/>
  <c r="N39" i="15"/>
  <c r="H40" i="15"/>
  <c r="T39" i="15"/>
  <c r="Q39" i="15"/>
  <c r="U39" i="15"/>
  <c r="P39" i="15"/>
  <c r="G39" i="14"/>
  <c r="I39" i="14"/>
  <c r="S40" i="15" l="1"/>
  <c r="U40" i="15"/>
  <c r="N40" i="15"/>
  <c r="V40" i="15" s="1"/>
  <c r="T40" i="15"/>
  <c r="Q40" i="15"/>
  <c r="P40" i="15"/>
  <c r="N41" i="15"/>
  <c r="V39" i="15"/>
</calcChain>
</file>

<file path=xl/sharedStrings.xml><?xml version="1.0" encoding="utf-8"?>
<sst xmlns="http://schemas.openxmlformats.org/spreadsheetml/2006/main" count="573" uniqueCount="248">
  <si>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</si>
  <si>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</si>
  <si>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</si>
  <si>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</si>
  <si>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</si>
  <si>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</si>
  <si>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</si>
  <si>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</si>
  <si>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 xml:space="preserve">      Gasto financiero</t>
  </si>
  <si>
    <t xml:space="preserve">      Producto financiero</t>
  </si>
  <si>
    <t xml:space="preserve">  Gasto financiero, neto</t>
  </si>
  <si>
    <t xml:space="preserve">  Fluctuación cambiaria</t>
  </si>
  <si>
    <t xml:space="preserve">  Ganancia / (Pérdida) por posición monetaria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</si>
  <si>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</si>
  <si>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</si>
  <si>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</si>
  <si>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</si>
  <si>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</si>
  <si>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</si>
  <si>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</si>
  <si>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</si>
  <si>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</si>
  <si>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</si>
  <si>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 xml:space="preserve"> 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</si>
  <si>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</si>
  <si>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</si>
  <si>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</si>
  <si>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</si>
  <si>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</si>
  <si>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</si>
  <si>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</si>
  <si>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</si>
  <si>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</si>
  <si>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</si>
  <si>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</si>
  <si>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</si>
  <si>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</si>
  <si>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</si>
  <si>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</si>
  <si>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>AJUSTES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</si>
  <si>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</si>
  <si>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</si>
  <si>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</si>
  <si>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</si>
  <si>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</si>
  <si>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</si>
  <si>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</si>
  <si>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</si>
  <si>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</si>
  <si>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</si>
  <si>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</si>
  <si>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</si>
  <si>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</si>
  <si>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</si>
  <si>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</si>
  <si>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</si>
  <si>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</si>
  <si>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</si>
  <si>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</si>
  <si>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</si>
  <si>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 xml:space="preserve">Utilidad neta antes de impuesto a la utilidad </t>
  </si>
  <si>
    <t>Resultado integral de financiamiento</t>
  </si>
  <si>
    <t>Indicador de operación FEMSA</t>
  </si>
  <si>
    <t>Flujo Bruto de Operación</t>
  </si>
  <si>
    <t>FLUJO BRUTO OPERACIÓN y CAPEX</t>
  </si>
  <si>
    <t xml:space="preserve">  Ganancia / (Pérdida) en instrumentos financieros derivados</t>
  </si>
  <si>
    <t>Millions of Pesos</t>
  </si>
  <si>
    <t>Millones de Pesos</t>
  </si>
  <si>
    <t>Participación en los resultados de Heineken</t>
  </si>
  <si>
    <t>Otros gastos (productos) operativos</t>
  </si>
  <si>
    <t xml:space="preserve">Otros gastos (productos) no operativos </t>
  </si>
  <si>
    <t>Utilidad de operación FEMSA</t>
  </si>
  <si>
    <t xml:space="preserve">Utilidad de operación </t>
  </si>
  <si>
    <t>Utilidad de operación</t>
  </si>
  <si>
    <t>Método de participación operativo Ganancia (Pérdida)</t>
  </si>
  <si>
    <t>Otros gastos (productos) operativos, neto</t>
  </si>
  <si>
    <t>Amortización y otras partidas virtuales</t>
  </si>
  <si>
    <t>Tasa Promedio</t>
  </si>
  <si>
    <t>Contratado en:</t>
  </si>
  <si>
    <t>Deuda total</t>
  </si>
  <si>
    <t>% de la Deuda total</t>
  </si>
  <si>
    <t>% Crec.</t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</si>
  <si>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</si>
  <si>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</si>
  <si>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</si>
  <si>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Inflación</t>
  </si>
  <si>
    <t>Por USD</t>
  </si>
  <si>
    <t>Por Peso</t>
  </si>
  <si>
    <t xml:space="preserve">Zona Euro </t>
  </si>
  <si>
    <t>Ajustes</t>
  </si>
  <si>
    <t>% del Total</t>
  </si>
  <si>
    <t>Integración Variaciones</t>
  </si>
  <si>
    <t>Acumulado</t>
  </si>
  <si>
    <t xml:space="preserve">Integración variación en millones de Pesos </t>
  </si>
  <si>
    <t xml:space="preserve">Integración variación en % </t>
  </si>
  <si>
    <t>Coca-Cola</t>
  </si>
  <si>
    <t>Otros</t>
  </si>
  <si>
    <t>Consolidado</t>
  </si>
  <si>
    <t>Cerveza</t>
  </si>
  <si>
    <t>Comercio</t>
  </si>
  <si>
    <t xml:space="preserve">  Gastos de administración</t>
  </si>
  <si>
    <t xml:space="preserve">  Gastos de venta</t>
  </si>
  <si>
    <t>Gastos de operación</t>
  </si>
  <si>
    <t xml:space="preserve">Resultado de operación </t>
  </si>
  <si>
    <t>Amortización y otros</t>
  </si>
  <si>
    <t>N.S.</t>
  </si>
  <si>
    <t>EBITDA</t>
  </si>
  <si>
    <t>Integración variación en %</t>
  </si>
  <si>
    <t>Logística</t>
  </si>
  <si>
    <t>Empaques</t>
  </si>
  <si>
    <t>Resultado de operación</t>
  </si>
  <si>
    <t>% Inc.</t>
  </si>
  <si>
    <t>Razones Financieras</t>
  </si>
  <si>
    <t>Flujo Bruto de Operación y CAPEX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</si>
  <si>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</si>
  <si>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</si>
  <si>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</si>
  <si>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Gastos de Financiamiento, neto</t>
  </si>
  <si>
    <t>Acumulado a:</t>
  </si>
  <si>
    <t>A c u m u l a d o:</t>
  </si>
  <si>
    <t>2013
IFRS HYP</t>
  </si>
  <si>
    <t>2013
IFRS ajust</t>
  </si>
  <si>
    <t>Ingresos Totales KOF</t>
  </si>
  <si>
    <t>Ingresos Totales Organicos KOF</t>
  </si>
  <si>
    <t>Utilidad de operación KOF</t>
  </si>
  <si>
    <t>Utilidad de operación Organica KOF</t>
  </si>
  <si>
    <t>Flujo Bruto de Operación Organico KOF</t>
  </si>
  <si>
    <t>Ingresos Totales Organicos OXXO</t>
  </si>
  <si>
    <t>Utilidad de operación OXXO</t>
  </si>
  <si>
    <t>Utilidad de operación Organica OXXO</t>
  </si>
  <si>
    <r>
      <t xml:space="preserve">Flujo Bruto de  Operación </t>
    </r>
    <r>
      <rPr>
        <vertAlign val="superscript"/>
        <sz val="11"/>
        <color indexed="8"/>
        <rFont val="Arial Narrow"/>
        <family val="2"/>
      </rPr>
      <t>(2)</t>
    </r>
  </si>
  <si>
    <t>Flujo Bruto de Operación OXXO</t>
  </si>
  <si>
    <t>Flujo Bruto de Operación Organico OXXO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</si>
  <si>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</si>
  <si>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</si>
  <si>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</si>
  <si>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Por los tres meses de:</t>
  </si>
  <si>
    <t>I Trimestre</t>
  </si>
  <si>
    <t>2015
IFRS HYP</t>
  </si>
  <si>
    <t>2015
IFRS ajust</t>
  </si>
  <si>
    <t>FEMSA Comercio-División Comercial Orgánico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</si>
  <si>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</si>
  <si>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FEMSA Comercio - OXXO</t>
  </si>
  <si>
    <t>Chile</t>
  </si>
  <si>
    <t>1Q 2016 HFM</t>
  </si>
  <si>
    <t>1Q 2016 Final</t>
  </si>
  <si>
    <r>
      <t>2016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</si>
  <si>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Ingresos Totales FEMCO</t>
  </si>
  <si>
    <t xml:space="preserve">Estaciones nuevas: </t>
  </si>
  <si>
    <t>Ventas netas</t>
  </si>
  <si>
    <t>Estaciones totales</t>
  </si>
  <si>
    <t>Precio Promedio por lt.</t>
  </si>
  <si>
    <t>VENTAS</t>
  </si>
  <si>
    <t>UT. OP</t>
  </si>
  <si>
    <t>ORG</t>
  </si>
  <si>
    <t>FEMSA INORGANICO</t>
  </si>
  <si>
    <t>FEMSA ORGÁNICO</t>
  </si>
  <si>
    <t>UT OPERACIÓN</t>
  </si>
  <si>
    <t>COMBUSTIBLES</t>
  </si>
  <si>
    <t>COMBUSTIBLES ORGANICO</t>
  </si>
  <si>
    <t>COMBUSTIBLES INORGÁNICO</t>
  </si>
  <si>
    <t>EBIT</t>
  </si>
  <si>
    <t>%VAR</t>
  </si>
  <si>
    <t>2Q 2016 HFM</t>
  </si>
  <si>
    <t>2Q 2016 Final</t>
  </si>
  <si>
    <t>ACUMULADO</t>
  </si>
  <si>
    <t>Últimos 12 meses</t>
  </si>
  <si>
    <t>Contra trimeste anterior</t>
  </si>
  <si>
    <t>Acumulado en el año</t>
  </si>
  <si>
    <t>Dic-16</t>
  </si>
  <si>
    <t xml:space="preserve"> - Vonpar (Diciembre)</t>
  </si>
  <si>
    <t>UT.Neta</t>
  </si>
  <si>
    <t>sin Vonpar</t>
  </si>
  <si>
    <t>Volumen (miles de litros)</t>
  </si>
  <si>
    <t>Filipinas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</si>
  <si>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</si>
  <si>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</si>
  <si>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</si>
  <si>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Tráfico (miles de transacciones)</t>
  </si>
  <si>
    <t>Ticket (pesos)</t>
  </si>
  <si>
    <t>Flujo bruto de operación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</si>
  <si>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</si>
  <si>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</si>
  <si>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</si>
  <si>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Liquidez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</si>
  <si>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Cobertura de intereses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</si>
  <si>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Apalancamiento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</si>
  <si>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Capitalización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</si>
  <si>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</si>
  <si>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</si>
  <si>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</si>
  <si>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r>
      <t>(4)</t>
    </r>
    <r>
      <rPr>
        <sz val="7"/>
        <rFont val="Calibri"/>
        <family val="2"/>
        <scheme val="minor"/>
      </rPr>
      <t xml:space="preserve"> Total activo circulante / total pasivo circulante.</t>
    </r>
  </si>
  <si>
    <r>
      <t>(5)</t>
    </r>
    <r>
      <rPr>
        <sz val="7"/>
        <rFont val="Calibri"/>
        <family val="2"/>
        <scheme val="minor"/>
      </rPr>
      <t xml:space="preserve"> Ut operación + depreciación + amortización y otras partidas virtuales/ gastos financieros, neto.</t>
    </r>
  </si>
  <si>
    <r>
      <t>(6)</t>
    </r>
    <r>
      <rPr>
        <sz val="7"/>
        <rFont val="Calibri"/>
        <family val="2"/>
        <scheme val="minor"/>
      </rPr>
      <t xml:space="preserve"> Total pasivos / total capital contable.</t>
    </r>
  </si>
  <si>
    <r>
      <t>(7)</t>
    </r>
    <r>
      <rPr>
        <sz val="7"/>
        <rFont val="Calibri"/>
        <family val="2"/>
        <scheme val="minor"/>
      </rPr>
      <t xml:space="preserve"> Deuda total / préstamos bancarios L.P. + capital contable.</t>
    </r>
  </si>
  <si>
    <t>Producto financiero</t>
  </si>
  <si>
    <t>Pérdida / (Ganancia) por fluctuación cambiaria</t>
  </si>
  <si>
    <t>Gasto financiero, neto</t>
  </si>
  <si>
    <t>Otros gastos (productos) financieros, neto</t>
  </si>
  <si>
    <t>Gasto financiero</t>
  </si>
  <si>
    <t>Utilidad neta antes de impuesto a la utilidad
    y de Método Participación en Asociadas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</si>
  <si>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</si>
  <si>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</si>
  <si>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</si>
  <si>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</si>
  <si>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</si>
  <si>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</si>
  <si>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</si>
  <si>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 xml:space="preserve">Inversión en acciones </t>
  </si>
  <si>
    <t>Pesos mexicanos</t>
  </si>
  <si>
    <t>Euros</t>
  </si>
  <si>
    <t>Dólares</t>
  </si>
  <si>
    <t>Pesos Argentinos</t>
  </si>
  <si>
    <t>Pesos Colombianos</t>
  </si>
  <si>
    <t>Pesos Chilenos</t>
  </si>
  <si>
    <t xml:space="preserve">Reales </t>
  </si>
  <si>
    <t xml:space="preserve"> - Filipinas (Febrero)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</si>
  <si>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</si>
  <si>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FEMSA Comercio - División Comercial</t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</si>
  <si>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</si>
  <si>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</si>
  <si>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</si>
  <si>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</si>
  <si>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</si>
  <si>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</si>
  <si>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VENCIMIENTOS DE LA DEUDA</t>
  </si>
  <si>
    <t>FEMSA Comercio - División Combustibles</t>
  </si>
  <si>
    <t>Tipo de Cambio al Final del Período</t>
  </si>
  <si>
    <t>Información de Tiendas</t>
  </si>
  <si>
    <t>Información de Estaciones de Servicio de OXXO GAS</t>
  </si>
  <si>
    <t>N/A</t>
  </si>
  <si>
    <t xml:space="preserve"> + Filipinas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</si>
  <si>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 Incluye los resultados de Coca-Cola FEMSA Philippines Inc., como si la operación se hubiese consolidado a inicios del primer trimestre de 2016.</t>
    </r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</si>
  <si>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</si>
  <si>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</si>
  <si>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Términos orgánicos (% Org.) Excluye los efectos de fusiones y adquisiciones significativas en los últimos doce meses.  Incluye los resultados de Coca-Cola FEMSA Philippines Inc., como si la operación se hubiese consolidado en el 2016. </t>
    </r>
  </si>
  <si>
    <t xml:space="preserve"> - Open Market (Enero)</t>
  </si>
  <si>
    <t>Al 31 de Diciembre del 2017</t>
  </si>
  <si>
    <t>2023+</t>
  </si>
  <si>
    <t>Dic-17</t>
  </si>
  <si>
    <t>Por el cuarto trimestre de:</t>
  </si>
  <si>
    <t xml:space="preserve"> 4T 2017</t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</si>
  <si>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"/>
        <color rgb="FF393943"/>
        <rFont val="Calibri"/>
        <family val="2"/>
        <scheme val="minor"/>
      </rPr>
      <t>Dic-17</t>
    </r>
  </si>
  <si>
    <t xml:space="preserve"> Dic-17</t>
  </si>
  <si>
    <t xml:space="preserve"> - Torrey (Noviembre)</t>
  </si>
  <si>
    <t>Inversiones</t>
  </si>
  <si>
    <t xml:space="preserve"> - Vonpar (Noviembre)</t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</si>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</sst>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  <numFmt numFmtId="169" formatCode="_(* #,##0.0000_);_(* \(#,##0.0000\);_(* &quot;-&quot;??_);_(@_)"/>
    <numFmt numFmtId="170" formatCode="0.0"/>
    <numFmt numFmtId="171" formatCode="_(* ###0_);_(* \(###0\);_(* &quot;-&quot;??_);_(@_)"/>
    <numFmt numFmtId="172" formatCode="_(* #,##0.000_);_(* \(#,##0.000\);_(* &quot;-&quot;??_);_(@_)"/>
    <numFmt numFmtId="173" formatCode="#,##0.0_);\(#,##0.0\)"/>
    <numFmt numFmtId="174" formatCode="_-* #,##0.0_-;\-* #,##0.0_-;_-* &quot;-&quot;??_-;_-@_-"/>
    <numFmt numFmtId="175" formatCode="&quot;N$&quot;#,##0_);[Red]\(&quot;N$&quot;#,##0\)"/>
    <numFmt numFmtId="176" formatCode="_-* #,##0_-;\-* #,##0_-;_-* &quot;-&quot;??_-;_-@_-"/>
    <numFmt numFmtId="177" formatCode="mmmm\-yy"/>
    <numFmt numFmtId="178" formatCode="_-* #,##0.000_-;\-* #,##0.000_-;_-* &quot;-&quot;??_-;_-@_-"/>
    <numFmt numFmtId="179" formatCode="#,##0.0;\-#,##0.0"/>
    <numFmt numFmtId="180" formatCode="[$-409]mmm\-yy;@"/>
  </numFmts>
  <fonts count="92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b/>
      <sz val="12"/>
      <color theme="0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b/>
      <sz val="11"/>
      <name val="Arial Narrow"/>
      <family val="2"/>
    </font>
    <font>
      <sz val="10"/>
      <name val="MS Sans"/>
    </font>
    <font>
      <vertAlign val="superscript"/>
      <sz val="11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2"/>
      <color indexed="8"/>
      <name val="Arial Narrow"/>
      <family val="2"/>
    </font>
    <font>
      <b/>
      <vertAlign val="superscript"/>
      <sz val="10.1"/>
      <color indexed="8"/>
      <name val="Arial Narrow"/>
      <family val="2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sz val="8"/>
      <color indexed="12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rgb="FF393943"/>
      <name val="Calibri"/>
      <family val="2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color indexed="10"/>
      <name val="Calibri"/>
      <family val="2"/>
      <scheme val="minor"/>
    </font>
    <font>
      <b/>
      <sz val="8"/>
      <color theme="0" tint="-0.14999847407452621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indexed="9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8"/>
      <color rgb="FF393943"/>
      <name val="Calibri"/>
      <family val="2"/>
    </font>
    <font>
      <b/>
      <vertAlign val="superscript"/>
      <sz val="8.8000000000000007"/>
      <color rgb="FF393943"/>
      <name val="Calibri"/>
      <family val="2"/>
    </font>
    <font>
      <b/>
      <i/>
      <sz val="8"/>
      <color rgb="FF850026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7"/>
      <name val="Calibri"/>
      <family val="2"/>
    </font>
    <font>
      <sz val="12"/>
      <color rgb="FFFFFF00"/>
      <name val="Arial Narrow"/>
      <family val="2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54">
    <xf numFmtId="0" fontId="0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40" fontId="9" fillId="0" borderId="0" applyFont="0" applyFill="0" applyBorder="0" applyAlignment="0" applyProtection="0"/>
    <xf numFmtId="38" fontId="8" fillId="0" borderId="0" applyFont="0" applyFill="0" applyBorder="0" applyAlignment="0" applyProtection="0"/>
    <xf numFmtId="4" fontId="20" fillId="0" borderId="0" applyFont="0" applyFill="0" applyBorder="0" applyAlignment="0" applyProtection="0"/>
    <xf numFmtId="175" fontId="9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6" borderId="0" applyNumberFormat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8" applyNumberFormat="0" applyAlignment="0" applyProtection="0"/>
    <xf numFmtId="0" fontId="42" fillId="10" borderId="9" applyNumberFormat="0" applyAlignment="0" applyProtection="0"/>
    <xf numFmtId="0" fontId="43" fillId="10" borderId="8" applyNumberFormat="0" applyAlignment="0" applyProtection="0"/>
    <xf numFmtId="0" fontId="44" fillId="0" borderId="10" applyNumberFormat="0" applyFill="0" applyAlignment="0" applyProtection="0"/>
    <xf numFmtId="0" fontId="45" fillId="11" borderId="11" applyNumberFormat="0" applyAlignment="0" applyProtection="0"/>
    <xf numFmtId="0" fontId="46" fillId="0" borderId="0" applyNumberFormat="0" applyFill="0" applyBorder="0" applyAlignment="0" applyProtection="0"/>
    <xf numFmtId="0" fontId="33" fillId="12" borderId="12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13" applyNumberFormat="0" applyFill="0" applyAlignment="0" applyProtection="0"/>
    <xf numFmtId="0" fontId="4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</cellStyleXfs>
  <cellXfs count="945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166" fontId="5" fillId="2" borderId="0" xfId="0" applyNumberFormat="1" applyFont="1" applyFill="1" applyBorder="1" applyAlignment="1">
      <alignment horizontal="centerContinuous" vertical="center"/>
    </xf>
    <xf numFmtId="167" fontId="5" fillId="2" borderId="0" xfId="1" applyNumberFormat="1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1" fillId="2" borderId="0" xfId="0" applyFont="1" applyFill="1" applyBorder="1"/>
    <xf numFmtId="166" fontId="4" fillId="2" borderId="0" xfId="0" applyNumberFormat="1" applyFont="1" applyFill="1"/>
    <xf numFmtId="0" fontId="12" fillId="2" borderId="0" xfId="0" quotePrefix="1" applyFont="1" applyFill="1" applyBorder="1" applyAlignment="1">
      <alignment horizontal="left"/>
    </xf>
    <xf numFmtId="166" fontId="5" fillId="2" borderId="0" xfId="1" quotePrefix="1" applyNumberFormat="1" applyFont="1" applyFill="1" applyBorder="1" applyAlignment="1">
      <alignment horizontal="left"/>
    </xf>
    <xf numFmtId="167" fontId="12" fillId="2" borderId="0" xfId="1" applyNumberFormat="1" applyFont="1" applyFill="1" applyBorder="1"/>
    <xf numFmtId="167" fontId="5" fillId="2" borderId="0" xfId="1" applyNumberFormat="1" applyFont="1" applyFill="1" applyBorder="1"/>
    <xf numFmtId="0" fontId="12" fillId="2" borderId="0" xfId="0" applyFont="1" applyFill="1" applyBorder="1"/>
    <xf numFmtId="166" fontId="12" fillId="2" borderId="0" xfId="1" applyNumberFormat="1" applyFont="1" applyFill="1" applyBorder="1"/>
    <xf numFmtId="0" fontId="12" fillId="2" borderId="1" xfId="0" quotePrefix="1" applyFont="1" applyFill="1" applyBorder="1" applyAlignment="1">
      <alignment horizontal="left"/>
    </xf>
    <xf numFmtId="166" fontId="5" fillId="2" borderId="1" xfId="1" quotePrefix="1" applyNumberFormat="1" applyFont="1" applyFill="1" applyBorder="1" applyAlignment="1">
      <alignment horizontal="left"/>
    </xf>
    <xf numFmtId="167" fontId="12" fillId="2" borderId="1" xfId="1" applyNumberFormat="1" applyFont="1" applyFill="1" applyBorder="1"/>
    <xf numFmtId="167" fontId="12" fillId="2" borderId="0" xfId="1" applyNumberFormat="1" applyFont="1" applyFill="1"/>
    <xf numFmtId="166" fontId="3" fillId="2" borderId="0" xfId="1" applyNumberFormat="1" applyFont="1" applyFill="1" applyBorder="1"/>
    <xf numFmtId="167" fontId="4" fillId="2" borderId="0" xfId="1" applyNumberFormat="1" applyFont="1" applyFill="1" applyBorder="1"/>
    <xf numFmtId="167" fontId="4" fillId="2" borderId="0" xfId="1" applyNumberFormat="1" applyFont="1" applyFill="1" applyBorder="1" applyAlignment="1">
      <alignment horizontal="right"/>
    </xf>
    <xf numFmtId="0" fontId="12" fillId="2" borderId="1" xfId="0" applyFont="1" applyFill="1" applyBorder="1"/>
    <xf numFmtId="167" fontId="4" fillId="2" borderId="1" xfId="1" applyNumberFormat="1" applyFont="1" applyFill="1" applyBorder="1"/>
    <xf numFmtId="167" fontId="4" fillId="2" borderId="1" xfId="1" applyNumberFormat="1" applyFont="1" applyFill="1" applyBorder="1" applyAlignment="1">
      <alignment horizontal="right"/>
    </xf>
    <xf numFmtId="166" fontId="3" fillId="2" borderId="2" xfId="1" applyNumberFormat="1" applyFont="1" applyFill="1" applyBorder="1"/>
    <xf numFmtId="167" fontId="13" fillId="2" borderId="0" xfId="1" applyNumberFormat="1" applyFont="1" applyFill="1" applyBorder="1"/>
    <xf numFmtId="166" fontId="3" fillId="2" borderId="1" xfId="1" applyNumberFormat="1" applyFont="1" applyFill="1" applyBorder="1"/>
    <xf numFmtId="166" fontId="12" fillId="2" borderId="0" xfId="1" applyNumberFormat="1" applyFont="1" applyFill="1" applyBorder="1" applyAlignment="1">
      <alignment horizontal="right"/>
    </xf>
    <xf numFmtId="0" fontId="4" fillId="2" borderId="0" xfId="1" applyNumberFormat="1" applyFont="1" applyFill="1" applyBorder="1"/>
    <xf numFmtId="166" fontId="4" fillId="2" borderId="0" xfId="1" applyNumberFormat="1" applyFont="1" applyFill="1" applyBorder="1"/>
    <xf numFmtId="0" fontId="12" fillId="2" borderId="2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167" fontId="4" fillId="2" borderId="2" xfId="1" applyNumberFormat="1" applyFont="1" applyFill="1" applyBorder="1"/>
    <xf numFmtId="0" fontId="12" fillId="2" borderId="1" xfId="0" applyFont="1" applyFill="1" applyBorder="1" applyAlignment="1">
      <alignment horizontal="left"/>
    </xf>
    <xf numFmtId="166" fontId="3" fillId="2" borderId="1" xfId="1" quotePrefix="1" applyNumberFormat="1" applyFont="1" applyFill="1" applyBorder="1" applyAlignment="1">
      <alignment horizontal="left"/>
    </xf>
    <xf numFmtId="166" fontId="3" fillId="2" borderId="0" xfId="1" quotePrefix="1" applyNumberFormat="1" applyFont="1" applyFill="1" applyBorder="1" applyAlignment="1">
      <alignment horizontal="left"/>
    </xf>
    <xf numFmtId="166" fontId="5" fillId="2" borderId="0" xfId="0" applyNumberFormat="1" applyFont="1" applyFill="1" applyBorder="1" applyAlignment="1">
      <alignment horizontal="center"/>
    </xf>
    <xf numFmtId="166" fontId="4" fillId="2" borderId="1" xfId="1" applyNumberFormat="1" applyFont="1" applyFill="1" applyBorder="1"/>
    <xf numFmtId="9" fontId="14" fillId="2" borderId="0" xfId="2" applyFont="1" applyFill="1" applyBorder="1"/>
    <xf numFmtId="166" fontId="5" fillId="2" borderId="0" xfId="1" applyNumberFormat="1" applyFont="1" applyFill="1" applyBorder="1"/>
    <xf numFmtId="168" fontId="5" fillId="2" borderId="0" xfId="2" applyNumberFormat="1" applyFont="1" applyFill="1" applyBorder="1"/>
    <xf numFmtId="168" fontId="12" fillId="2" borderId="0" xfId="2" applyNumberFormat="1" applyFont="1" applyFill="1" applyBorder="1"/>
    <xf numFmtId="168" fontId="3" fillId="2" borderId="0" xfId="2" applyNumberFormat="1" applyFont="1" applyFill="1"/>
    <xf numFmtId="0" fontId="16" fillId="2" borderId="0" xfId="0" applyFont="1" applyFill="1" applyBorder="1"/>
    <xf numFmtId="0" fontId="11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right"/>
    </xf>
    <xf numFmtId="170" fontId="4" fillId="2" borderId="0" xfId="0" applyNumberFormat="1" applyFont="1" applyFill="1"/>
    <xf numFmtId="0" fontId="5" fillId="2" borderId="0" xfId="0" quotePrefix="1" applyFont="1" applyFill="1" applyBorder="1" applyAlignment="1">
      <alignment horizontal="right"/>
    </xf>
    <xf numFmtId="0" fontId="12" fillId="2" borderId="0" xfId="0" applyFont="1" applyFill="1"/>
    <xf numFmtId="166" fontId="3" fillId="2" borderId="0" xfId="1" applyNumberFormat="1" applyFont="1" applyFill="1" applyBorder="1" applyAlignment="1">
      <alignment horizontal="right"/>
    </xf>
    <xf numFmtId="166" fontId="4" fillId="2" borderId="0" xfId="0" applyNumberFormat="1" applyFont="1" applyFill="1" applyBorder="1"/>
    <xf numFmtId="0" fontId="12" fillId="2" borderId="3" xfId="0" applyFont="1" applyFill="1" applyBorder="1"/>
    <xf numFmtId="166" fontId="3" fillId="2" borderId="3" xfId="1" applyNumberFormat="1" applyFont="1" applyFill="1" applyBorder="1" applyAlignment="1">
      <alignment horizontal="right"/>
    </xf>
    <xf numFmtId="170" fontId="4" fillId="2" borderId="3" xfId="0" applyNumberFormat="1" applyFont="1" applyFill="1" applyBorder="1"/>
    <xf numFmtId="166" fontId="3" fillId="3" borderId="1" xfId="1" applyNumberFormat="1" applyFont="1" applyFill="1" applyBorder="1" applyAlignment="1">
      <alignment horizontal="right"/>
    </xf>
    <xf numFmtId="166" fontId="17" fillId="2" borderId="0" xfId="1" applyNumberFormat="1" applyFont="1" applyFill="1" applyBorder="1" applyAlignment="1">
      <alignment horizontal="right"/>
    </xf>
    <xf numFmtId="0" fontId="14" fillId="2" borderId="0" xfId="0" applyFont="1" applyFill="1"/>
    <xf numFmtId="0" fontId="14" fillId="2" borderId="0" xfId="0" applyFont="1" applyFill="1" applyBorder="1"/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Border="1"/>
    <xf numFmtId="0" fontId="15" fillId="2" borderId="0" xfId="0" applyFont="1" applyFill="1"/>
    <xf numFmtId="0" fontId="4" fillId="2" borderId="0" xfId="3" applyFont="1" applyFill="1" applyBorder="1"/>
    <xf numFmtId="0" fontId="19" fillId="2" borderId="2" xfId="3" applyFont="1" applyFill="1" applyBorder="1" applyAlignment="1">
      <alignment horizontal="center"/>
    </xf>
    <xf numFmtId="37" fontId="3" fillId="2" borderId="1" xfId="4" applyNumberFormat="1" applyFont="1" applyFill="1" applyBorder="1"/>
    <xf numFmtId="0" fontId="4" fillId="2" borderId="1" xfId="3" applyFont="1" applyFill="1" applyBorder="1"/>
    <xf numFmtId="0" fontId="4" fillId="2" borderId="0" xfId="0" applyFont="1" applyFill="1" applyBorder="1" applyAlignment="1">
      <alignment horizontal="centerContinuous"/>
    </xf>
    <xf numFmtId="168" fontId="4" fillId="2" borderId="0" xfId="2" applyNumberFormat="1" applyFont="1" applyFill="1" applyBorder="1"/>
    <xf numFmtId="0" fontId="3" fillId="2" borderId="0" xfId="0" applyFont="1" applyFill="1"/>
    <xf numFmtId="167" fontId="4" fillId="2" borderId="0" xfId="1" applyNumberFormat="1" applyFont="1" applyFill="1"/>
    <xf numFmtId="167" fontId="4" fillId="2" borderId="3" xfId="1" applyNumberFormat="1" applyFont="1" applyFill="1" applyBorder="1"/>
    <xf numFmtId="167" fontId="4" fillId="3" borderId="0" xfId="1" applyNumberFormat="1" applyFont="1" applyFill="1" applyBorder="1"/>
    <xf numFmtId="168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3" fillId="2" borderId="0" xfId="9" applyFont="1" applyFill="1" applyBorder="1"/>
    <xf numFmtId="0" fontId="4" fillId="2" borderId="0" xfId="9" applyFont="1" applyFill="1"/>
    <xf numFmtId="0" fontId="5" fillId="2" borderId="0" xfId="9" applyFont="1" applyFill="1" applyBorder="1" applyAlignment="1">
      <alignment horizontal="left"/>
    </xf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Alignment="1">
      <alignment horizontal="centerContinuous"/>
    </xf>
    <xf numFmtId="0" fontId="4" fillId="2" borderId="0" xfId="9" applyFont="1" applyFill="1" applyBorder="1"/>
    <xf numFmtId="166" fontId="4" fillId="2" borderId="0" xfId="1" applyNumberFormat="1" applyFont="1" applyFill="1"/>
    <xf numFmtId="0" fontId="3" fillId="2" borderId="0" xfId="9" applyFont="1" applyFill="1" applyAlignment="1">
      <alignment horizontal="centerContinuous" vertical="center"/>
    </xf>
    <xf numFmtId="166" fontId="5" fillId="2" borderId="0" xfId="9" applyNumberFormat="1" applyFont="1" applyFill="1" applyBorder="1" applyAlignment="1">
      <alignment horizontal="centerContinuous" vertical="center"/>
    </xf>
    <xf numFmtId="0" fontId="3" fillId="2" borderId="0" xfId="9" applyFont="1" applyFill="1" applyBorder="1" applyAlignment="1">
      <alignment horizontal="centerContinuous" vertical="center"/>
    </xf>
    <xf numFmtId="0" fontId="11" fillId="2" borderId="1" xfId="9" applyFont="1" applyFill="1" applyBorder="1"/>
    <xf numFmtId="166" fontId="4" fillId="2" borderId="0" xfId="9" applyNumberFormat="1" applyFont="1" applyFill="1"/>
    <xf numFmtId="0" fontId="12" fillId="2" borderId="1" xfId="9" applyFont="1" applyFill="1" applyBorder="1"/>
    <xf numFmtId="0" fontId="12" fillId="2" borderId="0" xfId="9" applyFont="1" applyFill="1" applyBorder="1"/>
    <xf numFmtId="0" fontId="11" fillId="2" borderId="0" xfId="9" applyFont="1" applyFill="1" applyBorder="1"/>
    <xf numFmtId="0" fontId="4" fillId="3" borderId="0" xfId="9" applyFont="1" applyFill="1" applyBorder="1"/>
    <xf numFmtId="0" fontId="4" fillId="3" borderId="0" xfId="9" applyFont="1" applyFill="1"/>
    <xf numFmtId="0" fontId="19" fillId="2" borderId="0" xfId="9" applyFont="1" applyFill="1" applyAlignment="1"/>
    <xf numFmtId="167" fontId="12" fillId="4" borderId="0" xfId="1" applyNumberFormat="1" applyFont="1" applyFill="1" applyBorder="1"/>
    <xf numFmtId="166" fontId="4" fillId="4" borderId="0" xfId="1" applyNumberFormat="1" applyFont="1" applyFill="1" applyBorder="1"/>
    <xf numFmtId="0" fontId="4" fillId="4" borderId="0" xfId="0" applyFont="1" applyFill="1"/>
    <xf numFmtId="0" fontId="19" fillId="3" borderId="0" xfId="9" applyFont="1" applyFill="1" applyAlignment="1"/>
    <xf numFmtId="0" fontId="12" fillId="3" borderId="0" xfId="0" applyFont="1" applyFill="1" applyBorder="1"/>
    <xf numFmtId="166" fontId="3" fillId="3" borderId="0" xfId="1" applyNumberFormat="1" applyFont="1" applyFill="1" applyBorder="1"/>
    <xf numFmtId="166" fontId="4" fillId="3" borderId="0" xfId="1" applyNumberFormat="1" applyFont="1" applyFill="1" applyBorder="1"/>
    <xf numFmtId="167" fontId="4" fillId="3" borderId="3" xfId="1" applyNumberFormat="1" applyFont="1" applyFill="1" applyBorder="1"/>
    <xf numFmtId="166" fontId="12" fillId="3" borderId="0" xfId="1" applyNumberFormat="1" applyFont="1" applyFill="1" applyBorder="1"/>
    <xf numFmtId="167" fontId="12" fillId="3" borderId="0" xfId="1" applyNumberFormat="1" applyFont="1" applyFill="1" applyBorder="1"/>
    <xf numFmtId="0" fontId="12" fillId="3" borderId="2" xfId="0" applyFont="1" applyFill="1" applyBorder="1"/>
    <xf numFmtId="166" fontId="3" fillId="3" borderId="2" xfId="1" applyNumberFormat="1" applyFont="1" applyFill="1" applyBorder="1"/>
    <xf numFmtId="166" fontId="4" fillId="3" borderId="2" xfId="1" applyNumberFormat="1" applyFont="1" applyFill="1" applyBorder="1"/>
    <xf numFmtId="167" fontId="4" fillId="3" borderId="2" xfId="1" applyNumberFormat="1" applyFont="1" applyFill="1" applyBorder="1"/>
    <xf numFmtId="0" fontId="12" fillId="3" borderId="2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15" fillId="3" borderId="0" xfId="9" applyFont="1" applyFill="1" applyAlignment="1"/>
    <xf numFmtId="170" fontId="4" fillId="2" borderId="2" xfId="0" applyNumberFormat="1" applyFont="1" applyFill="1" applyBorder="1"/>
    <xf numFmtId="0" fontId="3" fillId="2" borderId="0" xfId="9" applyFont="1" applyFill="1" applyBorder="1" applyAlignment="1">
      <alignment horizontal="center"/>
    </xf>
    <xf numFmtId="0" fontId="12" fillId="2" borderId="0" xfId="9" quotePrefix="1" applyFont="1" applyFill="1" applyBorder="1" applyAlignment="1">
      <alignment horizontal="left"/>
    </xf>
    <xf numFmtId="0" fontId="12" fillId="2" borderId="1" xfId="9" quotePrefix="1" applyFont="1" applyFill="1" applyBorder="1" applyAlignment="1">
      <alignment horizontal="left"/>
    </xf>
    <xf numFmtId="0" fontId="12" fillId="2" borderId="0" xfId="9" applyFont="1" applyFill="1" applyBorder="1" applyAlignment="1">
      <alignment horizontal="left"/>
    </xf>
    <xf numFmtId="0" fontId="12" fillId="3" borderId="2" xfId="9" applyFont="1" applyFill="1" applyBorder="1" applyAlignment="1">
      <alignment horizontal="left"/>
    </xf>
    <xf numFmtId="0" fontId="12" fillId="3" borderId="0" xfId="9" applyFont="1" applyFill="1" applyBorder="1" applyAlignment="1">
      <alignment horizontal="left"/>
    </xf>
    <xf numFmtId="0" fontId="12" fillId="3" borderId="0" xfId="9" applyFont="1" applyFill="1" applyBorder="1"/>
    <xf numFmtId="0" fontId="12" fillId="3" borderId="2" xfId="9" applyFont="1" applyFill="1" applyBorder="1"/>
    <xf numFmtId="0" fontId="15" fillId="2" borderId="0" xfId="9" applyFont="1" applyFill="1"/>
    <xf numFmtId="0" fontId="5" fillId="2" borderId="1" xfId="9" applyFont="1" applyFill="1" applyBorder="1" applyAlignment="1">
      <alignment horizontal="right"/>
    </xf>
    <xf numFmtId="0" fontId="12" fillId="2" borderId="2" xfId="9" applyFont="1" applyFill="1" applyBorder="1" applyAlignment="1">
      <alignment horizontal="left"/>
    </xf>
    <xf numFmtId="0" fontId="12" fillId="2" borderId="3" xfId="9" applyFont="1" applyFill="1" applyBorder="1"/>
    <xf numFmtId="0" fontId="4" fillId="3" borderId="1" xfId="0" applyFont="1" applyFill="1" applyBorder="1"/>
    <xf numFmtId="167" fontId="5" fillId="3" borderId="1" xfId="1" applyNumberFormat="1" applyFont="1" applyFill="1" applyBorder="1" applyAlignment="1">
      <alignment horizontal="right"/>
    </xf>
    <xf numFmtId="0" fontId="4" fillId="3" borderId="1" xfId="9" applyFont="1" applyFill="1" applyBorder="1"/>
    <xf numFmtId="166" fontId="22" fillId="2" borderId="0" xfId="1" applyNumberFormat="1" applyFont="1" applyFill="1" applyBorder="1"/>
    <xf numFmtId="166" fontId="22" fillId="2" borderId="2" xfId="1" applyNumberFormat="1" applyFont="1" applyFill="1" applyBorder="1"/>
    <xf numFmtId="166" fontId="22" fillId="3" borderId="2" xfId="1" applyNumberFormat="1" applyFont="1" applyFill="1" applyBorder="1"/>
    <xf numFmtId="166" fontId="22" fillId="2" borderId="3" xfId="1" applyNumberFormat="1" applyFont="1" applyFill="1" applyBorder="1" applyAlignment="1">
      <alignment horizontal="right"/>
    </xf>
    <xf numFmtId="166" fontId="23" fillId="2" borderId="2" xfId="1" applyNumberFormat="1" applyFont="1" applyFill="1" applyBorder="1" applyAlignment="1">
      <alignment horizontal="right"/>
    </xf>
    <xf numFmtId="166" fontId="23" fillId="2" borderId="0" xfId="1" applyNumberFormat="1" applyFont="1" applyFill="1" applyBorder="1" applyAlignment="1">
      <alignment horizontal="right"/>
    </xf>
    <xf numFmtId="166" fontId="23" fillId="2" borderId="3" xfId="1" applyNumberFormat="1" applyFont="1" applyFill="1" applyBorder="1" applyAlignment="1">
      <alignment horizontal="right"/>
    </xf>
    <xf numFmtId="166" fontId="22" fillId="2" borderId="1" xfId="1" quotePrefix="1" applyNumberFormat="1" applyFont="1" applyFill="1" applyBorder="1" applyAlignment="1">
      <alignment horizontal="left"/>
    </xf>
    <xf numFmtId="166" fontId="22" fillId="2" borderId="0" xfId="1" quotePrefix="1" applyNumberFormat="1" applyFont="1" applyFill="1" applyBorder="1" applyAlignment="1">
      <alignment horizontal="left"/>
    </xf>
    <xf numFmtId="166" fontId="22" fillId="3" borderId="0" xfId="1" applyNumberFormat="1" applyFont="1" applyFill="1" applyBorder="1"/>
    <xf numFmtId="166" fontId="22" fillId="2" borderId="1" xfId="1" applyNumberFormat="1" applyFont="1" applyFill="1" applyBorder="1"/>
    <xf numFmtId="37" fontId="22" fillId="2" borderId="1" xfId="4" applyNumberFormat="1" applyFont="1" applyFill="1" applyBorder="1"/>
    <xf numFmtId="166" fontId="22" fillId="3" borderId="1" xfId="1" applyNumberFormat="1" applyFont="1" applyFill="1" applyBorder="1" applyAlignment="1">
      <alignment horizontal="right"/>
    </xf>
    <xf numFmtId="166" fontId="22" fillId="2" borderId="0" xfId="2" quotePrefix="1" applyNumberFormat="1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3" fillId="2" borderId="0" xfId="1" applyNumberFormat="1" applyFont="1" applyFill="1" applyBorder="1" applyAlignment="1"/>
    <xf numFmtId="166" fontId="5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center"/>
    </xf>
    <xf numFmtId="166" fontId="24" fillId="2" borderId="2" xfId="1" applyNumberFormat="1" applyFont="1" applyFill="1" applyBorder="1" applyAlignment="1">
      <alignment horizontal="right"/>
    </xf>
    <xf numFmtId="166" fontId="24" fillId="3" borderId="1" xfId="1" applyNumberFormat="1" applyFont="1" applyFill="1" applyBorder="1" applyAlignment="1">
      <alignment horizontal="right"/>
    </xf>
    <xf numFmtId="166" fontId="25" fillId="2" borderId="0" xfId="1" applyNumberFormat="1" applyFont="1" applyFill="1" applyBorder="1" applyAlignment="1">
      <alignment horizontal="right"/>
    </xf>
    <xf numFmtId="166" fontId="25" fillId="2" borderId="1" xfId="1" applyNumberFormat="1" applyFont="1" applyFill="1" applyBorder="1" applyAlignment="1">
      <alignment horizontal="right"/>
    </xf>
    <xf numFmtId="166" fontId="25" fillId="3" borderId="2" xfId="1" applyNumberFormat="1" applyFont="1" applyFill="1" applyBorder="1" applyAlignment="1">
      <alignment horizontal="right"/>
    </xf>
    <xf numFmtId="166" fontId="25" fillId="0" borderId="1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/>
    </xf>
    <xf numFmtId="166" fontId="25" fillId="3" borderId="0" xfId="1" applyNumberFormat="1" applyFont="1" applyFill="1" applyBorder="1" applyAlignment="1">
      <alignment horizontal="right"/>
    </xf>
    <xf numFmtId="0" fontId="4" fillId="3" borderId="0" xfId="1" applyNumberFormat="1" applyFont="1" applyFill="1" applyBorder="1"/>
    <xf numFmtId="166" fontId="3" fillId="2" borderId="0" xfId="0" applyNumberFormat="1" applyFont="1" applyFill="1"/>
    <xf numFmtId="0" fontId="3" fillId="2" borderId="1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right"/>
    </xf>
    <xf numFmtId="170" fontId="4" fillId="2" borderId="0" xfId="0" applyNumberFormat="1" applyFont="1" applyFill="1" applyAlignment="1">
      <alignment horizontal="right"/>
    </xf>
    <xf numFmtId="170" fontId="4" fillId="2" borderId="3" xfId="0" applyNumberFormat="1" applyFont="1" applyFill="1" applyBorder="1" applyAlignment="1">
      <alignment horizontal="right"/>
    </xf>
    <xf numFmtId="170" fontId="26" fillId="2" borderId="3" xfId="0" applyNumberFormat="1" applyFont="1" applyFill="1" applyBorder="1" applyAlignment="1">
      <alignment horizontal="right"/>
    </xf>
    <xf numFmtId="166" fontId="27" fillId="2" borderId="0" xfId="1" applyNumberFormat="1" applyFont="1" applyFill="1" applyBorder="1"/>
    <xf numFmtId="166" fontId="27" fillId="3" borderId="2" xfId="1" applyNumberFormat="1" applyFont="1" applyFill="1" applyBorder="1"/>
    <xf numFmtId="166" fontId="27" fillId="3" borderId="0" xfId="1" applyNumberFormat="1" applyFont="1" applyFill="1" applyBorder="1"/>
    <xf numFmtId="166" fontId="27" fillId="2" borderId="3" xfId="1" applyNumberFormat="1" applyFont="1" applyFill="1" applyBorder="1" applyAlignment="1">
      <alignment horizontal="right"/>
    </xf>
    <xf numFmtId="165" fontId="4" fillId="2" borderId="0" xfId="1" applyFont="1" applyFill="1"/>
    <xf numFmtId="0" fontId="10" fillId="2" borderId="0" xfId="0" applyFont="1" applyFill="1" applyBorder="1" applyAlignment="1">
      <alignment horizontal="right"/>
    </xf>
    <xf numFmtId="167" fontId="4" fillId="3" borderId="0" xfId="1" applyNumberFormat="1" applyFont="1" applyFill="1" applyBorder="1" applyAlignment="1">
      <alignment horizontal="right"/>
    </xf>
    <xf numFmtId="170" fontId="26" fillId="2" borderId="0" xfId="0" applyNumberFormat="1" applyFont="1" applyFill="1" applyBorder="1" applyAlignment="1">
      <alignment horizontal="right"/>
    </xf>
    <xf numFmtId="0" fontId="3" fillId="2" borderId="0" xfId="3" applyFont="1" applyFill="1" applyBorder="1" applyAlignment="1">
      <alignment horizontal="center"/>
    </xf>
    <xf numFmtId="0" fontId="28" fillId="2" borderId="0" xfId="3" applyFont="1" applyFill="1" applyBorder="1" applyAlignment="1">
      <alignment horizontal="centerContinuous"/>
    </xf>
    <xf numFmtId="0" fontId="4" fillId="2" borderId="0" xfId="3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167" fontId="5" fillId="2" borderId="1" xfId="1" applyNumberFormat="1" applyFont="1" applyFill="1" applyBorder="1"/>
    <xf numFmtId="166" fontId="12" fillId="2" borderId="1" xfId="1" applyNumberFormat="1" applyFont="1" applyFill="1" applyBorder="1"/>
    <xf numFmtId="168" fontId="12" fillId="2" borderId="1" xfId="2" applyNumberFormat="1" applyFont="1" applyFill="1" applyBorder="1"/>
    <xf numFmtId="166" fontId="5" fillId="2" borderId="2" xfId="1" applyNumberFormat="1" applyFont="1" applyFill="1" applyBorder="1"/>
    <xf numFmtId="166" fontId="12" fillId="2" borderId="2" xfId="1" applyNumberFormat="1" applyFont="1" applyFill="1" applyBorder="1"/>
    <xf numFmtId="168" fontId="12" fillId="2" borderId="2" xfId="2" applyNumberFormat="1" applyFont="1" applyFill="1" applyBorder="1"/>
    <xf numFmtId="0" fontId="12" fillId="2" borderId="2" xfId="0" applyFont="1" applyFill="1" applyBorder="1"/>
    <xf numFmtId="167" fontId="5" fillId="2" borderId="2" xfId="1" applyNumberFormat="1" applyFont="1" applyFill="1" applyBorder="1"/>
    <xf numFmtId="166" fontId="3" fillId="2" borderId="2" xfId="0" applyNumberFormat="1" applyFont="1" applyFill="1" applyBorder="1"/>
    <xf numFmtId="168" fontId="12" fillId="2" borderId="0" xfId="2" applyNumberFormat="1" applyFont="1" applyFill="1" applyBorder="1" applyAlignment="1">
      <alignment horizontal="right"/>
    </xf>
    <xf numFmtId="166" fontId="29" fillId="2" borderId="2" xfId="1" applyNumberFormat="1" applyFont="1" applyFill="1" applyBorder="1"/>
    <xf numFmtId="0" fontId="3" fillId="2" borderId="0" xfId="3" applyFont="1" applyFill="1" applyBorder="1" applyAlignment="1"/>
    <xf numFmtId="166" fontId="4" fillId="3" borderId="0" xfId="0" applyNumberFormat="1" applyFont="1" applyFill="1"/>
    <xf numFmtId="166" fontId="4" fillId="3" borderId="0" xfId="9" applyNumberFormat="1" applyFont="1" applyFill="1"/>
    <xf numFmtId="166" fontId="3" fillId="4" borderId="1" xfId="1" quotePrefix="1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176" fontId="4" fillId="2" borderId="0" xfId="0" applyNumberFormat="1" applyFont="1" applyFill="1"/>
    <xf numFmtId="166" fontId="22" fillId="2" borderId="2" xfId="1" quotePrefix="1" applyNumberFormat="1" applyFont="1" applyFill="1" applyBorder="1" applyAlignment="1">
      <alignment horizontal="left"/>
    </xf>
    <xf numFmtId="167" fontId="5" fillId="2" borderId="0" xfId="1" applyNumberFormat="1" applyFont="1" applyFill="1" applyBorder="1" applyAlignment="1">
      <alignment horizontal="right"/>
    </xf>
    <xf numFmtId="166" fontId="4" fillId="3" borderId="0" xfId="1" applyNumberFormat="1" applyFont="1" applyFill="1"/>
    <xf numFmtId="167" fontId="4" fillId="3" borderId="0" xfId="1" applyNumberFormat="1" applyFont="1" applyFill="1"/>
    <xf numFmtId="166" fontId="4" fillId="5" borderId="0" xfId="0" applyNumberFormat="1" applyFont="1" applyFill="1"/>
    <xf numFmtId="167" fontId="4" fillId="2" borderId="0" xfId="1" applyNumberFormat="1" applyFont="1" applyFill="1" applyBorder="1" applyAlignment="1">
      <alignment horizontal="center"/>
    </xf>
    <xf numFmtId="167" fontId="4" fillId="3" borderId="0" xfId="1" applyNumberFormat="1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center"/>
    </xf>
    <xf numFmtId="170" fontId="4" fillId="2" borderId="0" xfId="0" applyNumberFormat="1" applyFont="1" applyFill="1" applyAlignment="1">
      <alignment horizontal="center"/>
    </xf>
    <xf numFmtId="37" fontId="4" fillId="3" borderId="0" xfId="0" applyNumberFormat="1" applyFont="1" applyFill="1" applyAlignment="1">
      <alignment horizontal="center"/>
    </xf>
    <xf numFmtId="167" fontId="4" fillId="3" borderId="3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73" fontId="4" fillId="3" borderId="0" xfId="0" applyNumberFormat="1" applyFont="1" applyFill="1" applyAlignment="1">
      <alignment horizontal="right"/>
    </xf>
    <xf numFmtId="165" fontId="31" fillId="2" borderId="0" xfId="1" applyFont="1" applyFill="1" applyAlignment="1">
      <alignment horizontal="centerContinuous"/>
    </xf>
    <xf numFmtId="167" fontId="18" fillId="2" borderId="0" xfId="1" applyNumberFormat="1" applyFont="1" applyFill="1" applyBorder="1" applyAlignment="1">
      <alignment horizontal="center"/>
    </xf>
    <xf numFmtId="172" fontId="18" fillId="2" borderId="0" xfId="1" applyNumberFormat="1" applyFont="1" applyFill="1" applyBorder="1" applyAlignment="1">
      <alignment horizontal="center"/>
    </xf>
    <xf numFmtId="166" fontId="18" fillId="2" borderId="0" xfId="0" applyNumberFormat="1" applyFont="1" applyFill="1" applyBorder="1"/>
    <xf numFmtId="166" fontId="12" fillId="3" borderId="2" xfId="1" applyNumberFormat="1" applyFont="1" applyFill="1" applyBorder="1"/>
    <xf numFmtId="0" fontId="6" fillId="2" borderId="0" xfId="0" applyFont="1" applyFill="1" applyBorder="1" applyAlignment="1"/>
    <xf numFmtId="166" fontId="32" fillId="2" borderId="0" xfId="0" applyNumberFormat="1" applyFont="1" applyFill="1" applyAlignment="1">
      <alignment horizontal="centerContinuous" vertical="center"/>
    </xf>
    <xf numFmtId="166" fontId="4" fillId="2" borderId="3" xfId="1" applyNumberFormat="1" applyFont="1" applyFill="1" applyBorder="1" applyAlignment="1">
      <alignment horizontal="right"/>
    </xf>
    <xf numFmtId="172" fontId="4" fillId="2" borderId="0" xfId="1" applyNumberFormat="1" applyFont="1" applyFill="1" applyBorder="1" applyAlignment="1">
      <alignment horizontal="center"/>
    </xf>
    <xf numFmtId="178" fontId="4" fillId="2" borderId="0" xfId="0" applyNumberFormat="1" applyFont="1" applyFill="1" applyBorder="1"/>
    <xf numFmtId="0" fontId="3" fillId="2" borderId="0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4" fillId="2" borderId="2" xfId="1" applyNumberFormat="1" applyFont="1" applyFill="1" applyBorder="1"/>
    <xf numFmtId="166" fontId="4" fillId="0" borderId="1" xfId="1" applyNumberFormat="1" applyFont="1" applyFill="1" applyBorder="1"/>
    <xf numFmtId="166" fontId="4" fillId="0" borderId="0" xfId="1" applyNumberFormat="1" applyFont="1" applyFill="1" applyBorder="1"/>
    <xf numFmtId="0" fontId="6" fillId="3" borderId="0" xfId="0" applyFont="1" applyFill="1" applyBorder="1" applyAlignment="1"/>
    <xf numFmtId="170" fontId="4" fillId="2" borderId="0" xfId="0" applyNumberFormat="1" applyFont="1" applyFill="1" applyBorder="1" applyAlignment="1">
      <alignment horizontal="center"/>
    </xf>
    <xf numFmtId="37" fontId="4" fillId="3" borderId="0" xfId="0" applyNumberFormat="1" applyFont="1" applyFill="1" applyBorder="1" applyAlignment="1">
      <alignment horizontal="center"/>
    </xf>
    <xf numFmtId="170" fontId="4" fillId="2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/>
    <xf numFmtId="166" fontId="4" fillId="2" borderId="0" xfId="9" applyNumberFormat="1" applyFont="1" applyFill="1" applyBorder="1"/>
    <xf numFmtId="1" fontId="4" fillId="2" borderId="0" xfId="0" applyNumberFormat="1" applyFont="1" applyFill="1"/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8" fontId="4" fillId="3" borderId="0" xfId="2" applyNumberFormat="1" applyFont="1" applyFill="1"/>
    <xf numFmtId="170" fontId="4" fillId="37" borderId="0" xfId="0" applyNumberFormat="1" applyFont="1" applyFill="1"/>
    <xf numFmtId="166" fontId="12" fillId="3" borderId="0" xfId="0" applyNumberFormat="1" applyFont="1" applyFill="1" applyBorder="1"/>
    <xf numFmtId="166" fontId="12" fillId="2" borderId="0" xfId="0" applyNumberFormat="1" applyFont="1" applyFill="1" applyBorder="1"/>
    <xf numFmtId="0" fontId="50" fillId="2" borderId="0" xfId="9" applyFont="1" applyFill="1" applyBorder="1" applyAlignment="1">
      <alignment horizontal="centerContinuous"/>
    </xf>
    <xf numFmtId="0" fontId="51" fillId="2" borderId="0" xfId="9" applyFont="1" applyFill="1" applyBorder="1"/>
    <xf numFmtId="0" fontId="52" fillId="2" borderId="0" xfId="9" applyFont="1" applyFill="1"/>
    <xf numFmtId="0" fontId="50" fillId="2" borderId="0" xfId="9" applyFont="1" applyFill="1" applyBorder="1" applyAlignment="1">
      <alignment horizontal="left"/>
    </xf>
    <xf numFmtId="0" fontId="52" fillId="2" borderId="0" xfId="9" applyFont="1" applyFill="1" applyBorder="1"/>
    <xf numFmtId="0" fontId="52" fillId="2" borderId="0" xfId="9" applyFont="1" applyFill="1" applyAlignment="1">
      <alignment horizontal="centerContinuous"/>
    </xf>
    <xf numFmtId="0" fontId="58" fillId="2" borderId="0" xfId="0" applyFont="1" applyFill="1" applyBorder="1"/>
    <xf numFmtId="0" fontId="53" fillId="2" borderId="0" xfId="9" applyFont="1" applyFill="1" applyBorder="1" applyAlignment="1">
      <alignment horizontal="center"/>
    </xf>
    <xf numFmtId="0" fontId="50" fillId="2" borderId="0" xfId="9" applyFont="1" applyFill="1" applyBorder="1" applyAlignment="1">
      <alignment horizontal="center" vertical="center"/>
    </xf>
    <xf numFmtId="0" fontId="50" fillId="2" borderId="0" xfId="9" applyFont="1" applyFill="1" applyBorder="1" applyAlignment="1">
      <alignment horizontal="centerContinuous" vertical="center"/>
    </xf>
    <xf numFmtId="0" fontId="52" fillId="2" borderId="0" xfId="9" applyFont="1" applyFill="1" applyAlignment="1">
      <alignment vertical="center"/>
    </xf>
    <xf numFmtId="0" fontId="50" fillId="2" borderId="0" xfId="9" applyFont="1" applyFill="1" applyBorder="1" applyAlignment="1">
      <alignment horizontal="left" vertical="center"/>
    </xf>
    <xf numFmtId="0" fontId="52" fillId="2" borderId="0" xfId="9" applyFont="1" applyFill="1" applyBorder="1" applyAlignment="1">
      <alignment vertical="center"/>
    </xf>
    <xf numFmtId="0" fontId="51" fillId="2" borderId="0" xfId="9" applyFont="1" applyFill="1" applyBorder="1" applyAlignment="1">
      <alignment horizontal="centerContinuous" vertical="center"/>
    </xf>
    <xf numFmtId="0" fontId="52" fillId="2" borderId="0" xfId="9" applyFont="1" applyFill="1" applyAlignment="1">
      <alignment horizontal="centerContinuous" vertical="center"/>
    </xf>
    <xf numFmtId="0" fontId="54" fillId="2" borderId="0" xfId="9" applyFont="1" applyFill="1" applyBorder="1" applyAlignment="1">
      <alignment vertical="center"/>
    </xf>
    <xf numFmtId="0" fontId="55" fillId="2" borderId="0" xfId="9" applyFont="1" applyFill="1" applyBorder="1" applyAlignment="1">
      <alignment vertical="center"/>
    </xf>
    <xf numFmtId="0" fontId="58" fillId="2" borderId="0" xfId="0" applyFont="1" applyFill="1" applyBorder="1" applyAlignment="1">
      <alignment vertical="center"/>
    </xf>
    <xf numFmtId="0" fontId="60" fillId="2" borderId="0" xfId="9" applyFont="1" applyFill="1" applyBorder="1" applyAlignment="1">
      <alignment vertical="center"/>
    </xf>
    <xf numFmtId="0" fontId="54" fillId="0" borderId="0" xfId="9" applyFont="1" applyFill="1" applyBorder="1" applyAlignment="1">
      <alignment vertical="center"/>
    </xf>
    <xf numFmtId="167" fontId="52" fillId="2" borderId="0" xfId="1" applyNumberFormat="1" applyFont="1" applyFill="1" applyBorder="1" applyAlignment="1">
      <alignment horizontal="right" vertical="center"/>
    </xf>
    <xf numFmtId="0" fontId="58" fillId="2" borderId="0" xfId="9" applyFont="1" applyFill="1" applyBorder="1" applyAlignment="1">
      <alignment vertical="center"/>
    </xf>
    <xf numFmtId="0" fontId="54" fillId="2" borderId="0" xfId="9" applyFont="1" applyFill="1" applyBorder="1" applyAlignment="1">
      <alignment horizontal="right" vertical="center"/>
    </xf>
    <xf numFmtId="0" fontId="52" fillId="2" borderId="0" xfId="9" applyFont="1" applyFill="1" applyAlignment="1">
      <alignment horizontal="right" vertical="center"/>
    </xf>
    <xf numFmtId="10" fontId="52" fillId="3" borderId="0" xfId="2" applyNumberFormat="1" applyFont="1" applyFill="1" applyBorder="1" applyAlignment="1">
      <alignment horizontal="right" vertical="center"/>
    </xf>
    <xf numFmtId="10" fontId="52" fillId="4" borderId="0" xfId="2" applyNumberFormat="1" applyFont="1" applyFill="1" applyBorder="1" applyAlignment="1">
      <alignment horizontal="right" vertical="center"/>
    </xf>
    <xf numFmtId="165" fontId="52" fillId="3" borderId="0" xfId="1" applyNumberFormat="1" applyFont="1" applyFill="1" applyBorder="1" applyAlignment="1">
      <alignment horizontal="right" vertical="center"/>
    </xf>
    <xf numFmtId="169" fontId="52" fillId="3" borderId="0" xfId="1" applyNumberFormat="1" applyFont="1" applyFill="1" applyBorder="1" applyAlignment="1">
      <alignment horizontal="right" vertical="center"/>
    </xf>
    <xf numFmtId="10" fontId="52" fillId="0" borderId="0" xfId="2" applyNumberFormat="1" applyFont="1" applyFill="1" applyBorder="1" applyAlignment="1">
      <alignment horizontal="right" vertical="center"/>
    </xf>
    <xf numFmtId="169" fontId="52" fillId="0" borderId="0" xfId="1" applyNumberFormat="1" applyFont="1" applyFill="1" applyBorder="1" applyAlignment="1">
      <alignment horizontal="right" vertical="center"/>
    </xf>
    <xf numFmtId="0" fontId="52" fillId="2" borderId="0" xfId="9" applyFont="1" applyFill="1" applyBorder="1" applyAlignment="1">
      <alignment horizontal="left" vertical="center" wrapText="1"/>
    </xf>
    <xf numFmtId="0" fontId="52" fillId="41" borderId="0" xfId="9" applyFont="1" applyFill="1" applyBorder="1" applyAlignment="1">
      <alignment horizontal="left" vertical="center" wrapText="1"/>
    </xf>
    <xf numFmtId="0" fontId="52" fillId="2" borderId="0" xfId="9" applyFont="1" applyFill="1" applyBorder="1" applyAlignment="1">
      <alignment vertical="center" wrapText="1"/>
    </xf>
    <xf numFmtId="0" fontId="52" fillId="41" borderId="0" xfId="9" applyFont="1" applyFill="1" applyBorder="1" applyAlignment="1">
      <alignment vertical="center" wrapText="1"/>
    </xf>
    <xf numFmtId="0" fontId="58" fillId="41" borderId="15" xfId="9" applyFont="1" applyFill="1" applyBorder="1" applyAlignment="1">
      <alignment vertical="center" wrapText="1"/>
    </xf>
    <xf numFmtId="0" fontId="58" fillId="2" borderId="0" xfId="0" applyFont="1" applyFill="1" applyBorder="1" applyAlignment="1">
      <alignment vertical="center" wrapText="1"/>
    </xf>
    <xf numFmtId="0" fontId="54" fillId="2" borderId="0" xfId="9" applyFont="1" applyFill="1" applyBorder="1" applyAlignment="1">
      <alignment vertical="center" wrapText="1"/>
    </xf>
    <xf numFmtId="0" fontId="60" fillId="2" borderId="0" xfId="9" applyFont="1" applyFill="1" applyBorder="1" applyAlignment="1">
      <alignment vertical="center" wrapText="1"/>
    </xf>
    <xf numFmtId="0" fontId="54" fillId="0" borderId="0" xfId="9" applyFont="1" applyFill="1" applyBorder="1" applyAlignment="1">
      <alignment vertical="center" wrapText="1" shrinkToFit="1"/>
    </xf>
    <xf numFmtId="0" fontId="62" fillId="0" borderId="0" xfId="9" applyFont="1" applyFill="1" applyBorder="1" applyAlignment="1">
      <alignment horizontal="center" vertical="center" wrapText="1" shrinkToFit="1"/>
    </xf>
    <xf numFmtId="0" fontId="64" fillId="3" borderId="0" xfId="9" applyFont="1" applyFill="1" applyBorder="1" applyAlignment="1">
      <alignment horizontal="right" vertical="center" wrapText="1" shrinkToFit="1"/>
    </xf>
    <xf numFmtId="0" fontId="64" fillId="0" borderId="0" xfId="9" applyFont="1" applyFill="1" applyBorder="1" applyAlignment="1">
      <alignment horizontal="right" vertical="center" wrapText="1" shrinkToFit="1"/>
    </xf>
    <xf numFmtId="49" fontId="64" fillId="3" borderId="0" xfId="9" applyNumberFormat="1" applyFont="1" applyFill="1" applyBorder="1" applyAlignment="1">
      <alignment horizontal="right" vertical="center" wrapText="1" shrinkToFit="1"/>
    </xf>
    <xf numFmtId="177" fontId="64" fillId="0" borderId="0" xfId="9" applyNumberFormat="1" applyFont="1" applyFill="1" applyBorder="1" applyAlignment="1">
      <alignment horizontal="right" vertical="center" wrapText="1" shrinkToFit="1"/>
    </xf>
    <xf numFmtId="10" fontId="52" fillId="3" borderId="0" xfId="2" applyNumberFormat="1" applyFont="1" applyFill="1" applyBorder="1" applyAlignment="1">
      <alignment horizontal="right" vertical="center" wrapText="1" shrinkToFit="1"/>
    </xf>
    <xf numFmtId="10" fontId="52" fillId="4" borderId="0" xfId="2" applyNumberFormat="1" applyFont="1" applyFill="1" applyBorder="1" applyAlignment="1">
      <alignment horizontal="right" vertical="center" wrapText="1" shrinkToFit="1"/>
    </xf>
    <xf numFmtId="10" fontId="52" fillId="0" borderId="0" xfId="2" applyNumberFormat="1" applyFont="1" applyFill="1" applyBorder="1" applyAlignment="1">
      <alignment horizontal="right" vertical="center" wrapText="1" shrinkToFit="1"/>
    </xf>
    <xf numFmtId="165" fontId="52" fillId="3" borderId="0" xfId="1" applyNumberFormat="1" applyFont="1" applyFill="1" applyBorder="1" applyAlignment="1">
      <alignment horizontal="right" vertical="center" wrapText="1" shrinkToFit="1"/>
    </xf>
    <xf numFmtId="169" fontId="52" fillId="3" borderId="0" xfId="1" applyNumberFormat="1" applyFont="1" applyFill="1" applyBorder="1" applyAlignment="1">
      <alignment horizontal="right" vertical="center" wrapText="1" shrinkToFit="1"/>
    </xf>
    <xf numFmtId="169" fontId="52" fillId="0" borderId="0" xfId="1" applyNumberFormat="1" applyFont="1" applyFill="1" applyBorder="1" applyAlignment="1">
      <alignment horizontal="right" vertical="center" wrapText="1" shrinkToFit="1"/>
    </xf>
    <xf numFmtId="10" fontId="52" fillId="41" borderId="0" xfId="2" applyNumberFormat="1" applyFont="1" applyFill="1" applyBorder="1" applyAlignment="1">
      <alignment horizontal="right" vertical="center" wrapText="1" shrinkToFit="1"/>
    </xf>
    <xf numFmtId="165" fontId="52" fillId="41" borderId="0" xfId="1" applyNumberFormat="1" applyFont="1" applyFill="1" applyBorder="1" applyAlignment="1">
      <alignment horizontal="right" vertical="center" wrapText="1" shrinkToFit="1"/>
    </xf>
    <xf numFmtId="169" fontId="52" fillId="41" borderId="0" xfId="1" applyNumberFormat="1" applyFont="1" applyFill="1" applyBorder="1" applyAlignment="1">
      <alignment horizontal="right" vertical="center" wrapText="1" shrinkToFit="1"/>
    </xf>
    <xf numFmtId="165" fontId="52" fillId="41" borderId="0" xfId="1" applyFont="1" applyFill="1" applyBorder="1" applyAlignment="1">
      <alignment horizontal="right" vertical="center" wrapText="1" shrinkToFit="1"/>
    </xf>
    <xf numFmtId="165" fontId="52" fillId="3" borderId="0" xfId="1" applyFont="1" applyFill="1" applyBorder="1" applyAlignment="1">
      <alignment horizontal="right" vertical="center" wrapText="1" shrinkToFit="1"/>
    </xf>
    <xf numFmtId="0" fontId="52" fillId="2" borderId="0" xfId="9" applyFont="1" applyFill="1" applyBorder="1" applyAlignment="1">
      <alignment horizontal="right" vertical="center" wrapText="1" shrinkToFit="1"/>
    </xf>
    <xf numFmtId="0" fontId="52" fillId="0" borderId="0" xfId="9" applyFont="1" applyFill="1" applyBorder="1" applyAlignment="1">
      <alignment horizontal="right" vertical="center" wrapText="1" shrinkToFit="1"/>
    </xf>
    <xf numFmtId="10" fontId="52" fillId="41" borderId="15" xfId="2" applyNumberFormat="1" applyFont="1" applyFill="1" applyBorder="1" applyAlignment="1">
      <alignment horizontal="right" vertical="center" wrapText="1" shrinkToFit="1"/>
    </xf>
    <xf numFmtId="10" fontId="52" fillId="0" borderId="15" xfId="2" applyNumberFormat="1" applyFont="1" applyFill="1" applyBorder="1" applyAlignment="1">
      <alignment horizontal="right" vertical="center" wrapText="1" shrinkToFit="1"/>
    </xf>
    <xf numFmtId="165" fontId="52" fillId="41" borderId="15" xfId="1" applyNumberFormat="1" applyFont="1" applyFill="1" applyBorder="1" applyAlignment="1">
      <alignment horizontal="right" vertical="center" wrapText="1" shrinkToFit="1"/>
    </xf>
    <xf numFmtId="169" fontId="52" fillId="41" borderId="15" xfId="1" applyNumberFormat="1" applyFont="1" applyFill="1" applyBorder="1" applyAlignment="1">
      <alignment horizontal="right" vertical="center" wrapText="1" shrinkToFit="1"/>
    </xf>
    <xf numFmtId="169" fontId="52" fillId="0" borderId="15" xfId="1" applyNumberFormat="1" applyFont="1" applyFill="1" applyBorder="1" applyAlignment="1">
      <alignment horizontal="right" vertical="center" wrapText="1" shrinkToFit="1"/>
    </xf>
    <xf numFmtId="0" fontId="54" fillId="0" borderId="0" xfId="9" applyFont="1" applyFill="1" applyBorder="1" applyAlignment="1">
      <alignment vertical="center" shrinkToFit="1"/>
    </xf>
    <xf numFmtId="0" fontId="54" fillId="2" borderId="0" xfId="9" applyFont="1" applyFill="1" applyBorder="1" applyAlignment="1">
      <alignment vertical="center" shrinkToFit="1"/>
    </xf>
    <xf numFmtId="0" fontId="60" fillId="2" borderId="0" xfId="9" applyFont="1" applyFill="1" applyBorder="1" applyAlignment="1">
      <alignment vertical="center" shrinkToFit="1"/>
    </xf>
    <xf numFmtId="170" fontId="54" fillId="2" borderId="0" xfId="9" applyNumberFormat="1" applyFont="1" applyFill="1" applyBorder="1" applyAlignment="1">
      <alignment vertical="center" shrinkToFit="1"/>
    </xf>
    <xf numFmtId="0" fontId="52" fillId="2" borderId="0" xfId="0" applyFont="1" applyFill="1"/>
    <xf numFmtId="0" fontId="53" fillId="2" borderId="0" xfId="0" applyFont="1" applyFill="1" applyBorder="1" applyAlignment="1"/>
    <xf numFmtId="0" fontId="53" fillId="3" borderId="0" xfId="0" applyFont="1" applyFill="1" applyBorder="1" applyAlignment="1"/>
    <xf numFmtId="0" fontId="50" fillId="2" borderId="0" xfId="0" applyFont="1" applyFill="1" applyBorder="1" applyAlignment="1">
      <alignment horizontal="centerContinuous"/>
    </xf>
    <xf numFmtId="0" fontId="52" fillId="2" borderId="0" xfId="0" applyFont="1" applyFill="1" applyBorder="1"/>
    <xf numFmtId="0" fontId="51" fillId="2" borderId="0" xfId="0" applyFont="1" applyFill="1" applyAlignment="1">
      <alignment horizontal="centerContinuous" vertical="center"/>
    </xf>
    <xf numFmtId="0" fontId="51" fillId="2" borderId="0" xfId="0" applyFont="1" applyFill="1" applyBorder="1" applyAlignment="1">
      <alignment horizontal="centerContinuous" vertical="center"/>
    </xf>
    <xf numFmtId="166" fontId="63" fillId="2" borderId="0" xfId="0" applyNumberFormat="1" applyFont="1" applyFill="1" applyAlignment="1">
      <alignment horizontal="centerContinuous" vertical="center"/>
    </xf>
    <xf numFmtId="0" fontId="51" fillId="2" borderId="0" xfId="0" applyFont="1" applyFill="1" applyBorder="1" applyAlignment="1">
      <alignment horizontal="center" vertical="center"/>
    </xf>
    <xf numFmtId="167" fontId="50" fillId="2" borderId="0" xfId="1" applyNumberFormat="1" applyFont="1" applyFill="1" applyBorder="1" applyAlignment="1">
      <alignment horizontal="centerContinuous" vertical="center"/>
    </xf>
    <xf numFmtId="0" fontId="51" fillId="2" borderId="0" xfId="3" quotePrefix="1" applyFont="1" applyFill="1" applyBorder="1" applyAlignment="1">
      <alignment horizontal="left"/>
    </xf>
    <xf numFmtId="0" fontId="58" fillId="2" borderId="0" xfId="0" quotePrefix="1" applyFont="1" applyFill="1" applyBorder="1" applyAlignment="1">
      <alignment horizontal="left"/>
    </xf>
    <xf numFmtId="0" fontId="58" fillId="3" borderId="0" xfId="0" applyFont="1" applyFill="1" applyBorder="1" applyAlignment="1">
      <alignment horizontal="left"/>
    </xf>
    <xf numFmtId="0" fontId="52" fillId="3" borderId="0" xfId="0" applyFont="1" applyFill="1"/>
    <xf numFmtId="0" fontId="52" fillId="3" borderId="0" xfId="0" applyFont="1" applyFill="1" applyBorder="1"/>
    <xf numFmtId="0" fontId="52" fillId="0" borderId="0" xfId="0" applyFont="1" applyFill="1"/>
    <xf numFmtId="166" fontId="67" fillId="2" borderId="0" xfId="1" applyNumberFormat="1" applyFont="1" applyFill="1" applyBorder="1"/>
    <xf numFmtId="167" fontId="58" fillId="2" borderId="0" xfId="1" applyNumberFormat="1" applyFont="1" applyFill="1" applyBorder="1"/>
    <xf numFmtId="0" fontId="58" fillId="3" borderId="0" xfId="0" applyFont="1" applyFill="1" applyBorder="1"/>
    <xf numFmtId="0" fontId="54" fillId="3" borderId="0" xfId="0" applyFont="1" applyFill="1" applyBorder="1"/>
    <xf numFmtId="167" fontId="58" fillId="2" borderId="0" xfId="1" applyNumberFormat="1" applyFont="1" applyFill="1" applyBorder="1" applyAlignment="1">
      <alignment horizontal="right"/>
    </xf>
    <xf numFmtId="0" fontId="53" fillId="0" borderId="0" xfId="0" applyFont="1" applyFill="1" applyBorder="1" applyAlignment="1"/>
    <xf numFmtId="0" fontId="52" fillId="3" borderId="0" xfId="0" applyFont="1" applyFill="1" applyAlignment="1"/>
    <xf numFmtId="0" fontId="52" fillId="2" borderId="0" xfId="0" applyFont="1" applyFill="1" applyAlignment="1">
      <alignment vertical="center"/>
    </xf>
    <xf numFmtId="0" fontId="51" fillId="2" borderId="0" xfId="3" quotePrefix="1" applyFont="1" applyFill="1" applyBorder="1" applyAlignment="1">
      <alignment horizontal="left" vertical="center"/>
    </xf>
    <xf numFmtId="0" fontId="51" fillId="2" borderId="0" xfId="3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vertical="center"/>
    </xf>
    <xf numFmtId="0" fontId="58" fillId="2" borderId="0" xfId="0" quotePrefix="1" applyFont="1" applyFill="1" applyBorder="1" applyAlignment="1">
      <alignment horizontal="left" vertical="center"/>
    </xf>
    <xf numFmtId="0" fontId="58" fillId="3" borderId="0" xfId="0" applyFont="1" applyFill="1" applyBorder="1" applyAlignment="1">
      <alignment horizontal="left" vertical="center"/>
    </xf>
    <xf numFmtId="0" fontId="52" fillId="3" borderId="0" xfId="0" applyFont="1" applyFill="1" applyAlignment="1">
      <alignment vertical="center"/>
    </xf>
    <xf numFmtId="0" fontId="52" fillId="3" borderId="0" xfId="0" applyFont="1" applyFill="1" applyBorder="1" applyAlignment="1">
      <alignment vertical="center"/>
    </xf>
    <xf numFmtId="0" fontId="52" fillId="0" borderId="0" xfId="0" applyFont="1" applyFill="1" applyAlignment="1">
      <alignment vertical="center"/>
    </xf>
    <xf numFmtId="167" fontId="58" fillId="2" borderId="0" xfId="1" applyNumberFormat="1" applyFont="1" applyFill="1" applyBorder="1" applyAlignment="1">
      <alignment vertical="center"/>
    </xf>
    <xf numFmtId="0" fontId="58" fillId="3" borderId="0" xfId="0" applyFont="1" applyFill="1" applyBorder="1" applyAlignment="1">
      <alignment vertical="center"/>
    </xf>
    <xf numFmtId="0" fontId="54" fillId="3" borderId="0" xfId="0" applyFont="1" applyFill="1" applyBorder="1" applyAlignment="1">
      <alignment vertical="center"/>
    </xf>
    <xf numFmtId="0" fontId="52" fillId="2" borderId="0" xfId="0" applyFont="1" applyFill="1" applyBorder="1" applyAlignment="1">
      <alignment horizontal="center" vertical="center"/>
    </xf>
    <xf numFmtId="0" fontId="52" fillId="2" borderId="0" xfId="3" applyFont="1" applyFill="1" applyBorder="1" applyAlignment="1">
      <alignment vertical="center" wrapText="1"/>
    </xf>
    <xf numFmtId="0" fontId="69" fillId="2" borderId="0" xfId="0" applyFont="1" applyFill="1" applyAlignment="1">
      <alignment vertical="center"/>
    </xf>
    <xf numFmtId="0" fontId="64" fillId="2" borderId="0" xfId="3" applyFont="1" applyFill="1" applyBorder="1" applyAlignment="1">
      <alignment horizontal="right" vertical="center"/>
    </xf>
    <xf numFmtId="0" fontId="64" fillId="2" borderId="0" xfId="0" applyFont="1" applyFill="1" applyBorder="1" applyAlignment="1">
      <alignment horizontal="right" vertical="center"/>
    </xf>
    <xf numFmtId="0" fontId="64" fillId="2" borderId="0" xfId="0" applyFont="1" applyFill="1" applyBorder="1" applyAlignment="1">
      <alignment horizontal="right" vertical="center" wrapText="1"/>
    </xf>
    <xf numFmtId="166" fontId="66" fillId="2" borderId="0" xfId="0" applyNumberFormat="1" applyFont="1" applyFill="1" applyBorder="1" applyAlignment="1">
      <alignment horizontal="right" vertical="center"/>
    </xf>
    <xf numFmtId="0" fontId="66" fillId="2" borderId="0" xfId="0" applyFont="1" applyFill="1" applyBorder="1" applyAlignment="1">
      <alignment horizontal="right" vertical="center"/>
    </xf>
    <xf numFmtId="0" fontId="50" fillId="2" borderId="0" xfId="0" applyFont="1" applyFill="1" applyBorder="1" applyAlignment="1">
      <alignment horizontal="left" vertical="center"/>
    </xf>
    <xf numFmtId="0" fontId="50" fillId="2" borderId="0" xfId="0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vertical="center"/>
    </xf>
    <xf numFmtId="0" fontId="52" fillId="2" borderId="15" xfId="0" applyFont="1" applyFill="1" applyBorder="1" applyAlignment="1">
      <alignment vertical="center"/>
    </xf>
    <xf numFmtId="0" fontId="52" fillId="0" borderId="15" xfId="0" applyFont="1" applyFill="1" applyBorder="1" applyAlignment="1">
      <alignment vertical="center"/>
    </xf>
    <xf numFmtId="0" fontId="64" fillId="2" borderId="0" xfId="3" applyFont="1" applyFill="1" applyBorder="1" applyAlignment="1">
      <alignment horizontal="right" vertical="center" shrinkToFit="1"/>
    </xf>
    <xf numFmtId="0" fontId="58" fillId="2" borderId="0" xfId="0" applyFont="1" applyFill="1" applyBorder="1" applyAlignment="1">
      <alignment horizontal="right" vertical="center" shrinkToFit="1"/>
    </xf>
    <xf numFmtId="0" fontId="52" fillId="2" borderId="0" xfId="0" applyFont="1" applyFill="1" applyBorder="1" applyAlignment="1">
      <alignment horizontal="right" vertical="center" shrinkToFit="1"/>
    </xf>
    <xf numFmtId="0" fontId="58" fillId="2" borderId="0" xfId="0" quotePrefix="1" applyFont="1" applyFill="1" applyBorder="1" applyAlignment="1">
      <alignment horizontal="right" vertical="center" shrinkToFit="1"/>
    </xf>
    <xf numFmtId="0" fontId="58" fillId="3" borderId="0" xfId="0" applyFont="1" applyFill="1" applyBorder="1" applyAlignment="1">
      <alignment horizontal="right" vertical="center" shrinkToFit="1"/>
    </xf>
    <xf numFmtId="0" fontId="52" fillId="0" borderId="15" xfId="0" applyFont="1" applyFill="1" applyBorder="1" applyAlignment="1">
      <alignment horizontal="right" vertical="center" shrinkToFit="1"/>
    </xf>
    <xf numFmtId="0" fontId="64" fillId="2" borderId="0" xfId="3" applyFont="1" applyFill="1" applyBorder="1" applyAlignment="1">
      <alignment horizontal="right" vertical="center" wrapText="1"/>
    </xf>
    <xf numFmtId="0" fontId="58" fillId="41" borderId="16" xfId="0" applyFont="1" applyFill="1" applyBorder="1" applyAlignment="1">
      <alignment vertical="center" wrapText="1"/>
    </xf>
    <xf numFmtId="0" fontId="58" fillId="2" borderId="17" xfId="0" applyFont="1" applyFill="1" applyBorder="1" applyAlignment="1">
      <alignment vertical="center" wrapText="1"/>
    </xf>
    <xf numFmtId="0" fontId="58" fillId="41" borderId="0" xfId="0" applyFont="1" applyFill="1" applyBorder="1" applyAlignment="1">
      <alignment horizontal="left" vertical="center" wrapText="1"/>
    </xf>
    <xf numFmtId="0" fontId="58" fillId="2" borderId="0" xfId="0" applyFont="1" applyFill="1" applyBorder="1" applyAlignment="1">
      <alignment horizontal="left" vertical="center" wrapText="1"/>
    </xf>
    <xf numFmtId="0" fontId="58" fillId="3" borderId="17" xfId="0" applyFont="1" applyFill="1" applyBorder="1" applyAlignment="1">
      <alignment horizontal="left" vertical="center" wrapText="1"/>
    </xf>
    <xf numFmtId="0" fontId="52" fillId="41" borderId="0" xfId="0" applyFont="1" applyFill="1" applyBorder="1" applyAlignment="1">
      <alignment vertical="center" wrapText="1"/>
    </xf>
    <xf numFmtId="0" fontId="58" fillId="2" borderId="16" xfId="0" applyFont="1" applyFill="1" applyBorder="1" applyAlignment="1">
      <alignment vertical="center" wrapText="1"/>
    </xf>
    <xf numFmtId="0" fontId="58" fillId="41" borderId="0" xfId="0" applyFont="1" applyFill="1" applyBorder="1" applyAlignment="1">
      <alignment vertical="center" wrapText="1"/>
    </xf>
    <xf numFmtId="0" fontId="52" fillId="0" borderId="15" xfId="0" applyFont="1" applyFill="1" applyBorder="1" applyAlignment="1">
      <alignment vertical="center" wrapText="1"/>
    </xf>
    <xf numFmtId="0" fontId="51" fillId="2" borderId="0" xfId="9" applyFont="1" applyFill="1" applyAlignment="1">
      <alignment vertical="center" wrapText="1"/>
    </xf>
    <xf numFmtId="0" fontId="57" fillId="40" borderId="0" xfId="0" applyFont="1" applyFill="1" applyBorder="1" applyAlignment="1">
      <alignment horizontal="left" vertical="center" wrapText="1"/>
    </xf>
    <xf numFmtId="0" fontId="50" fillId="41" borderId="0" xfId="0" applyFont="1" applyFill="1" applyBorder="1" applyAlignment="1">
      <alignment vertical="center" wrapText="1"/>
    </xf>
    <xf numFmtId="0" fontId="52" fillId="3" borderId="0" xfId="0" applyFont="1" applyFill="1" applyBorder="1" applyAlignment="1">
      <alignment vertical="center" wrapText="1"/>
    </xf>
    <xf numFmtId="0" fontId="58" fillId="3" borderId="0" xfId="0" quotePrefix="1" applyFont="1" applyFill="1" applyBorder="1" applyAlignment="1">
      <alignment horizontal="left" vertical="center" wrapText="1"/>
    </xf>
    <xf numFmtId="0" fontId="58" fillId="3" borderId="0" xfId="0" applyFont="1" applyFill="1" applyBorder="1" applyAlignment="1">
      <alignment horizontal="left" vertical="center" wrapText="1"/>
    </xf>
    <xf numFmtId="0" fontId="58" fillId="41" borderId="15" xfId="0" applyFont="1" applyFill="1" applyBorder="1" applyAlignment="1">
      <alignment horizontal="left" vertical="center" wrapText="1"/>
    </xf>
    <xf numFmtId="0" fontId="52" fillId="2" borderId="0" xfId="0" applyFont="1" applyFill="1" applyAlignment="1">
      <alignment vertical="center" shrinkToFit="1"/>
    </xf>
    <xf numFmtId="0" fontId="53" fillId="3" borderId="0" xfId="11" applyFont="1" applyFill="1" applyBorder="1" applyAlignment="1">
      <alignment vertical="center"/>
    </xf>
    <xf numFmtId="0" fontId="68" fillId="2" borderId="0" xfId="0" applyFont="1" applyFill="1" applyBorder="1" applyAlignment="1">
      <alignment vertical="center" wrapText="1"/>
    </xf>
    <xf numFmtId="166" fontId="51" fillId="2" borderId="0" xfId="1" applyNumberFormat="1" applyFont="1" applyFill="1" applyBorder="1" applyAlignment="1">
      <alignment horizontal="right" vertical="center" wrapText="1" shrinkToFit="1"/>
    </xf>
    <xf numFmtId="167" fontId="52" fillId="2" borderId="0" xfId="1" applyNumberFormat="1" applyFont="1" applyFill="1" applyBorder="1" applyAlignment="1">
      <alignment horizontal="right" vertical="center" wrapText="1" shrinkToFit="1"/>
    </xf>
    <xf numFmtId="167" fontId="52" fillId="3" borderId="0" xfId="1" applyNumberFormat="1" applyFont="1" applyFill="1" applyBorder="1" applyAlignment="1">
      <alignment horizontal="right" vertical="center" wrapText="1" shrinkToFit="1"/>
    </xf>
    <xf numFmtId="167" fontId="52" fillId="41" borderId="16" xfId="1" applyNumberFormat="1" applyFont="1" applyFill="1" applyBorder="1" applyAlignment="1">
      <alignment horizontal="right" vertical="center" wrapText="1" shrinkToFit="1"/>
    </xf>
    <xf numFmtId="0" fontId="52" fillId="2" borderId="0" xfId="0" applyFont="1" applyFill="1" applyBorder="1" applyAlignment="1">
      <alignment horizontal="right" vertical="center" wrapText="1" shrinkToFit="1"/>
    </xf>
    <xf numFmtId="167" fontId="52" fillId="2" borderId="17" xfId="1" applyNumberFormat="1" applyFont="1" applyFill="1" applyBorder="1" applyAlignment="1">
      <alignment horizontal="right" vertical="center" wrapText="1" shrinkToFit="1"/>
    </xf>
    <xf numFmtId="167" fontId="52" fillId="41" borderId="0" xfId="1" applyNumberFormat="1" applyFont="1" applyFill="1" applyBorder="1" applyAlignment="1">
      <alignment horizontal="right" vertical="center" wrapText="1" shrinkToFit="1"/>
    </xf>
    <xf numFmtId="167" fontId="67" fillId="2" borderId="0" xfId="1" applyNumberFormat="1" applyFont="1" applyFill="1" applyBorder="1" applyAlignment="1">
      <alignment horizontal="right" vertical="center" wrapText="1" shrinkToFit="1"/>
    </xf>
    <xf numFmtId="43" fontId="67" fillId="2" borderId="0" xfId="0" applyNumberFormat="1" applyFont="1" applyFill="1" applyBorder="1" applyAlignment="1">
      <alignment horizontal="right" vertical="center" wrapText="1" shrinkToFit="1"/>
    </xf>
    <xf numFmtId="167" fontId="52" fillId="2" borderId="16" xfId="1" applyNumberFormat="1" applyFont="1" applyFill="1" applyBorder="1" applyAlignment="1">
      <alignment horizontal="right" vertical="center" wrapText="1" shrinkToFit="1"/>
    </xf>
    <xf numFmtId="0" fontId="67" fillId="3" borderId="15" xfId="0" applyFont="1" applyFill="1" applyBorder="1" applyAlignment="1">
      <alignment horizontal="right" vertical="center" wrapText="1" shrinkToFit="1"/>
    </xf>
    <xf numFmtId="167" fontId="52" fillId="3" borderId="15" xfId="1" applyNumberFormat="1" applyFont="1" applyFill="1" applyBorder="1" applyAlignment="1">
      <alignment horizontal="right" vertical="center" wrapText="1" shrinkToFit="1"/>
    </xf>
    <xf numFmtId="0" fontId="52" fillId="3" borderId="0" xfId="0" applyFont="1" applyFill="1" applyBorder="1" applyAlignment="1">
      <alignment horizontal="right" vertical="center" wrapText="1" shrinkToFit="1"/>
    </xf>
    <xf numFmtId="167" fontId="52" fillId="2" borderId="15" xfId="1" applyNumberFormat="1" applyFont="1" applyFill="1" applyBorder="1" applyAlignment="1">
      <alignment horizontal="right" vertical="center" wrapText="1" shrinkToFit="1"/>
    </xf>
    <xf numFmtId="166" fontId="52" fillId="0" borderId="0" xfId="1" applyNumberFormat="1" applyFont="1" applyFill="1" applyBorder="1" applyAlignment="1">
      <alignment horizontal="right" vertical="center" wrapText="1" shrinkToFit="1"/>
    </xf>
    <xf numFmtId="166" fontId="51" fillId="3" borderId="0" xfId="1" applyNumberFormat="1" applyFont="1" applyFill="1" applyBorder="1" applyAlignment="1">
      <alignment horizontal="right" vertical="center" wrapText="1" shrinkToFit="1"/>
    </xf>
    <xf numFmtId="167" fontId="52" fillId="41" borderId="15" xfId="1" applyNumberFormat="1" applyFont="1" applyFill="1" applyBorder="1" applyAlignment="1">
      <alignment horizontal="right" vertical="center" wrapText="1" shrinkToFit="1"/>
    </xf>
    <xf numFmtId="166" fontId="57" fillId="2" borderId="0" xfId="1" applyNumberFormat="1" applyFont="1" applyFill="1" applyBorder="1" applyAlignment="1">
      <alignment horizontal="right" vertical="center" wrapText="1" shrinkToFit="1"/>
    </xf>
    <xf numFmtId="166" fontId="67" fillId="2" borderId="0" xfId="1" applyNumberFormat="1" applyFont="1" applyFill="1" applyBorder="1" applyAlignment="1">
      <alignment horizontal="right" vertical="center" wrapText="1" shrinkToFit="1"/>
    </xf>
    <xf numFmtId="168" fontId="57" fillId="2" borderId="0" xfId="2" applyNumberFormat="1" applyFont="1" applyFill="1" applyBorder="1" applyAlignment="1">
      <alignment horizontal="right" vertical="center" wrapText="1" shrinkToFit="1"/>
    </xf>
    <xf numFmtId="167" fontId="57" fillId="2" borderId="0" xfId="1" applyNumberFormat="1" applyFont="1" applyFill="1" applyBorder="1" applyAlignment="1">
      <alignment horizontal="right" vertical="center" wrapText="1" shrinkToFit="1"/>
    </xf>
    <xf numFmtId="168" fontId="50" fillId="2" borderId="0" xfId="2" applyNumberFormat="1" applyFont="1" applyFill="1" applyBorder="1" applyAlignment="1">
      <alignment horizontal="right" vertical="center" wrapText="1" shrinkToFit="1"/>
    </xf>
    <xf numFmtId="167" fontId="58" fillId="2" borderId="0" xfId="1" applyNumberFormat="1" applyFont="1" applyFill="1" applyBorder="1" applyAlignment="1">
      <alignment horizontal="right" vertical="center" wrapText="1" shrinkToFit="1"/>
    </xf>
    <xf numFmtId="0" fontId="52" fillId="2" borderId="0" xfId="0" applyFont="1" applyFill="1" applyAlignment="1">
      <alignment horizontal="right" vertical="center" wrapText="1" shrinkToFit="1"/>
    </xf>
    <xf numFmtId="0" fontId="50" fillId="2" borderId="0" xfId="0" applyFont="1" applyFill="1" applyBorder="1" applyAlignment="1">
      <alignment horizontal="right" vertical="center" wrapText="1" shrinkToFit="1"/>
    </xf>
    <xf numFmtId="0" fontId="51" fillId="2" borderId="0" xfId="3" applyFont="1" applyFill="1" applyBorder="1" applyAlignment="1">
      <alignment horizontal="right" vertical="center" wrapText="1" shrinkToFit="1"/>
    </xf>
    <xf numFmtId="0" fontId="52" fillId="2" borderId="0" xfId="3" applyFont="1" applyFill="1" applyBorder="1" applyAlignment="1">
      <alignment horizontal="right" vertical="center" wrapText="1" shrinkToFit="1"/>
    </xf>
    <xf numFmtId="166" fontId="50" fillId="2" borderId="0" xfId="0" applyNumberFormat="1" applyFont="1" applyFill="1" applyBorder="1" applyAlignment="1">
      <alignment horizontal="right" vertical="center" wrapText="1" shrinkToFit="1"/>
    </xf>
    <xf numFmtId="0" fontId="51" fillId="41" borderId="0" xfId="0" applyFont="1" applyFill="1" applyAlignment="1">
      <alignment horizontal="right" vertical="center" wrapText="1" shrinkToFit="1"/>
    </xf>
    <xf numFmtId="173" fontId="52" fillId="3" borderId="0" xfId="4" applyNumberFormat="1" applyFont="1" applyFill="1" applyBorder="1" applyAlignment="1">
      <alignment horizontal="right" vertical="center" wrapText="1" shrinkToFit="1"/>
    </xf>
    <xf numFmtId="0" fontId="51" fillId="41" borderId="0" xfId="3" applyFont="1" applyFill="1" applyBorder="1" applyAlignment="1">
      <alignment horizontal="right" vertical="center" wrapText="1" shrinkToFit="1"/>
    </xf>
    <xf numFmtId="167" fontId="51" fillId="41" borderId="0" xfId="1" applyNumberFormat="1" applyFont="1" applyFill="1" applyBorder="1" applyAlignment="1">
      <alignment horizontal="right" vertical="center" wrapText="1" shrinkToFit="1"/>
    </xf>
    <xf numFmtId="0" fontId="52" fillId="3" borderId="0" xfId="0" applyFont="1" applyFill="1" applyAlignment="1">
      <alignment horizontal="right" vertical="center" wrapText="1" shrinkToFit="1"/>
    </xf>
    <xf numFmtId="170" fontId="52" fillId="3" borderId="0" xfId="0" applyNumberFormat="1" applyFont="1" applyFill="1" applyAlignment="1">
      <alignment horizontal="right" vertical="center" wrapText="1" shrinkToFit="1"/>
    </xf>
    <xf numFmtId="37" fontId="51" fillId="41" borderId="0" xfId="0" applyNumberFormat="1" applyFont="1" applyFill="1" applyAlignment="1">
      <alignment horizontal="right" vertical="center" wrapText="1" shrinkToFit="1"/>
    </xf>
    <xf numFmtId="0" fontId="52" fillId="41" borderId="0" xfId="0" applyFont="1" applyFill="1" applyAlignment="1">
      <alignment horizontal="right" vertical="center" wrapText="1" shrinkToFit="1"/>
    </xf>
    <xf numFmtId="0" fontId="52" fillId="41" borderId="0" xfId="0" applyFont="1" applyFill="1" applyBorder="1" applyAlignment="1">
      <alignment horizontal="right" vertical="center" wrapText="1" shrinkToFit="1"/>
    </xf>
    <xf numFmtId="0" fontId="67" fillId="3" borderId="0" xfId="0" applyFont="1" applyFill="1" applyAlignment="1">
      <alignment horizontal="right" vertical="center" wrapText="1" shrinkToFit="1"/>
    </xf>
    <xf numFmtId="0" fontId="67" fillId="3" borderId="0" xfId="3" applyFont="1" applyFill="1" applyBorder="1" applyAlignment="1">
      <alignment horizontal="right" vertical="center" wrapText="1" shrinkToFit="1"/>
    </xf>
    <xf numFmtId="0" fontId="52" fillId="3" borderId="0" xfId="3" applyFont="1" applyFill="1" applyBorder="1" applyAlignment="1">
      <alignment horizontal="right" vertical="center" wrapText="1" shrinkToFit="1"/>
    </xf>
    <xf numFmtId="0" fontId="56" fillId="3" borderId="0" xfId="0" quotePrefix="1" applyFont="1" applyFill="1" applyAlignment="1">
      <alignment horizontal="right" vertical="center" wrapText="1" shrinkToFit="1"/>
    </xf>
    <xf numFmtId="0" fontId="52" fillId="41" borderId="0" xfId="3" applyFont="1" applyFill="1" applyBorder="1" applyAlignment="1">
      <alignment horizontal="right" vertical="center" wrapText="1" shrinkToFit="1"/>
    </xf>
    <xf numFmtId="167" fontId="51" fillId="3" borderId="0" xfId="1" applyNumberFormat="1" applyFont="1" applyFill="1" applyBorder="1" applyAlignment="1">
      <alignment horizontal="right" vertical="center" wrapText="1" shrinkToFit="1"/>
    </xf>
    <xf numFmtId="0" fontId="52" fillId="41" borderId="15" xfId="3" applyFont="1" applyFill="1" applyBorder="1" applyAlignment="1">
      <alignment horizontal="right" vertical="center" wrapText="1" shrinkToFit="1"/>
    </xf>
    <xf numFmtId="0" fontId="51" fillId="2" borderId="0" xfId="0" applyFont="1" applyFill="1" applyAlignment="1">
      <alignment horizontal="centerContinuous" vertical="center" shrinkToFit="1"/>
    </xf>
    <xf numFmtId="166" fontId="63" fillId="2" borderId="0" xfId="0" applyNumberFormat="1" applyFont="1" applyFill="1" applyAlignment="1">
      <alignment horizontal="centerContinuous" vertical="center" shrinkToFit="1"/>
    </xf>
    <xf numFmtId="0" fontId="51" fillId="2" borderId="0" xfId="0" applyFont="1" applyFill="1" applyBorder="1" applyAlignment="1">
      <alignment horizontal="centerContinuous" vertical="center" shrinkToFit="1"/>
    </xf>
    <xf numFmtId="0" fontId="53" fillId="3" borderId="0" xfId="11" applyFont="1" applyFill="1" applyBorder="1" applyAlignment="1">
      <alignment vertical="center" shrinkToFit="1"/>
    </xf>
    <xf numFmtId="0" fontId="52" fillId="2" borderId="0" xfId="3" applyFont="1" applyFill="1" applyBorder="1" applyAlignment="1">
      <alignment vertical="center" shrinkToFit="1"/>
    </xf>
    <xf numFmtId="0" fontId="52" fillId="2" borderId="0" xfId="0" applyFont="1" applyFill="1" applyBorder="1" applyAlignment="1">
      <alignment vertical="center" shrinkToFit="1"/>
    </xf>
    <xf numFmtId="167" fontId="50" fillId="2" borderId="0" xfId="1" applyNumberFormat="1" applyFont="1" applyFill="1" applyBorder="1" applyAlignment="1">
      <alignment horizontal="centerContinuous" vertical="center" shrinkToFit="1"/>
    </xf>
    <xf numFmtId="167" fontId="58" fillId="2" borderId="0" xfId="1" applyNumberFormat="1" applyFont="1" applyFill="1" applyBorder="1" applyAlignment="1">
      <alignment horizontal="right" vertical="center" shrinkToFit="1"/>
    </xf>
    <xf numFmtId="0" fontId="68" fillId="2" borderId="0" xfId="0" applyFont="1" applyFill="1" applyBorder="1" applyAlignment="1">
      <alignment vertical="center" shrinkToFit="1"/>
    </xf>
    <xf numFmtId="167" fontId="58" fillId="2" borderId="0" xfId="1" applyNumberFormat="1" applyFont="1" applyFill="1" applyBorder="1" applyAlignment="1">
      <alignment vertical="center" shrinkToFit="1"/>
    </xf>
    <xf numFmtId="0" fontId="51" fillId="2" borderId="0" xfId="0" applyFont="1" applyFill="1" applyAlignment="1">
      <alignment horizontal="centerContinuous" vertical="center" wrapText="1"/>
    </xf>
    <xf numFmtId="0" fontId="51" fillId="2" borderId="0" xfId="3" quotePrefix="1" applyFont="1" applyFill="1" applyBorder="1" applyAlignment="1">
      <alignment horizontal="left" vertical="center" wrapText="1"/>
    </xf>
    <xf numFmtId="0" fontId="53" fillId="3" borderId="0" xfId="11" applyFont="1" applyFill="1" applyBorder="1" applyAlignment="1">
      <alignment vertical="center" wrapText="1"/>
    </xf>
    <xf numFmtId="0" fontId="69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 wrapText="1"/>
    </xf>
    <xf numFmtId="0" fontId="54" fillId="0" borderId="0" xfId="9" applyFont="1" applyFill="1" applyBorder="1" applyAlignment="1">
      <alignment horizontal="right" vertical="center" wrapText="1" shrinkToFit="1"/>
    </xf>
    <xf numFmtId="0" fontId="52" fillId="0" borderId="0" xfId="9" applyFont="1" applyFill="1" applyBorder="1" applyAlignment="1">
      <alignment horizontal="left" vertical="center" wrapText="1" shrinkToFit="1"/>
    </xf>
    <xf numFmtId="0" fontId="52" fillId="0" borderId="0" xfId="9" applyFont="1" applyFill="1" applyBorder="1" applyAlignment="1">
      <alignment vertical="center" wrapText="1" shrinkToFit="1"/>
    </xf>
    <xf numFmtId="0" fontId="58" fillId="0" borderId="15" xfId="9" applyFont="1" applyFill="1" applyBorder="1" applyAlignment="1">
      <alignment vertical="center" wrapText="1" shrinkToFit="1"/>
    </xf>
    <xf numFmtId="0" fontId="64" fillId="2" borderId="0" xfId="0" applyFont="1" applyFill="1" applyBorder="1" applyAlignment="1">
      <alignment horizontal="right" vertical="center" wrapText="1" shrinkToFit="1"/>
    </xf>
    <xf numFmtId="0" fontId="64" fillId="2" borderId="0" xfId="3" applyFont="1" applyFill="1" applyBorder="1" applyAlignment="1">
      <alignment horizontal="right" vertical="center" wrapText="1" shrinkToFit="1"/>
    </xf>
    <xf numFmtId="0" fontId="50" fillId="2" borderId="0" xfId="0" applyFont="1" applyFill="1" applyBorder="1" applyAlignment="1"/>
    <xf numFmtId="9" fontId="75" fillId="2" borderId="0" xfId="2" applyFont="1" applyFill="1" applyBorder="1" applyAlignment="1">
      <alignment horizontal="centerContinuous"/>
    </xf>
    <xf numFmtId="9" fontId="52" fillId="3" borderId="0" xfId="2" applyFont="1" applyFill="1" applyBorder="1"/>
    <xf numFmtId="9" fontId="51" fillId="3" borderId="0" xfId="2" applyFont="1" applyFill="1" applyBorder="1"/>
    <xf numFmtId="9" fontId="53" fillId="3" borderId="0" xfId="2" applyFont="1" applyFill="1" applyBorder="1" applyAlignment="1"/>
    <xf numFmtId="9" fontId="52" fillId="2" borderId="0" xfId="2" applyFont="1" applyFill="1" applyBorder="1"/>
    <xf numFmtId="0" fontId="51" fillId="2" borderId="0" xfId="0" applyFont="1" applyFill="1" applyBorder="1" applyAlignment="1">
      <alignment horizontal="right"/>
    </xf>
    <xf numFmtId="0" fontId="64" fillId="2" borderId="0" xfId="3" applyFont="1" applyFill="1" applyBorder="1" applyAlignment="1">
      <alignment horizontal="right"/>
    </xf>
    <xf numFmtId="0" fontId="64" fillId="2" borderId="0" xfId="0" applyFont="1" applyFill="1" applyBorder="1" applyAlignment="1">
      <alignment horizontal="right" wrapText="1"/>
    </xf>
    <xf numFmtId="0" fontId="64" fillId="2" borderId="0" xfId="0" applyFont="1" applyFill="1" applyBorder="1" applyAlignment="1">
      <alignment horizontal="right"/>
    </xf>
    <xf numFmtId="166" fontId="66" fillId="2" borderId="0" xfId="0" applyNumberFormat="1" applyFont="1" applyFill="1" applyBorder="1" applyAlignment="1">
      <alignment horizontal="right"/>
    </xf>
    <xf numFmtId="0" fontId="66" fillId="2" borderId="0" xfId="0" applyFont="1" applyFill="1" applyBorder="1" applyAlignment="1">
      <alignment horizontal="right"/>
    </xf>
    <xf numFmtId="0" fontId="52" fillId="0" borderId="15" xfId="0" applyFont="1" applyFill="1" applyBorder="1"/>
    <xf numFmtId="0" fontId="52" fillId="3" borderId="15" xfId="0" applyFont="1" applyFill="1" applyBorder="1"/>
    <xf numFmtId="0" fontId="69" fillId="2" borderId="0" xfId="3" applyFont="1" applyFill="1" applyBorder="1" applyAlignment="1">
      <alignment vertical="top" wrapText="1"/>
    </xf>
    <xf numFmtId="0" fontId="69" fillId="2" borderId="0" xfId="0" applyFont="1" applyFill="1" applyBorder="1"/>
    <xf numFmtId="167" fontId="52" fillId="2" borderId="0" xfId="1" applyNumberFormat="1" applyFont="1" applyFill="1" applyBorder="1" applyAlignment="1">
      <alignment horizontal="right" wrapText="1" shrinkToFit="1"/>
    </xf>
    <xf numFmtId="167" fontId="52" fillId="41" borderId="16" xfId="1" applyNumberFormat="1" applyFont="1" applyFill="1" applyBorder="1" applyAlignment="1">
      <alignment horizontal="right" wrapText="1" shrinkToFit="1"/>
    </xf>
    <xf numFmtId="167" fontId="52" fillId="2" borderId="17" xfId="1" applyNumberFormat="1" applyFont="1" applyFill="1" applyBorder="1" applyAlignment="1">
      <alignment horizontal="right" wrapText="1" shrinkToFit="1"/>
    </xf>
    <xf numFmtId="167" fontId="52" fillId="41" borderId="0" xfId="1" applyNumberFormat="1" applyFont="1" applyFill="1" applyBorder="1" applyAlignment="1">
      <alignment horizontal="right" wrapText="1" shrinkToFit="1"/>
    </xf>
    <xf numFmtId="167" fontId="52" fillId="3" borderId="16" xfId="1" applyNumberFormat="1" applyFont="1" applyFill="1" applyBorder="1" applyAlignment="1">
      <alignment horizontal="right" wrapText="1" shrinkToFit="1"/>
    </xf>
    <xf numFmtId="166" fontId="52" fillId="0" borderId="0" xfId="1" applyNumberFormat="1" applyFont="1" applyFill="1" applyBorder="1" applyAlignment="1">
      <alignment horizontal="right" wrapText="1" shrinkToFit="1"/>
    </xf>
    <xf numFmtId="0" fontId="52" fillId="2" borderId="0" xfId="0" applyFont="1" applyFill="1" applyAlignment="1">
      <alignment horizontal="right" wrapText="1" shrinkToFit="1"/>
    </xf>
    <xf numFmtId="167" fontId="52" fillId="3" borderId="17" xfId="1" applyNumberFormat="1" applyFont="1" applyFill="1" applyBorder="1" applyAlignment="1">
      <alignment horizontal="right" wrapText="1" shrinkToFit="1"/>
    </xf>
    <xf numFmtId="167" fontId="52" fillId="2" borderId="16" xfId="1" applyNumberFormat="1" applyFont="1" applyFill="1" applyBorder="1" applyAlignment="1">
      <alignment horizontal="right" wrapText="1" shrinkToFit="1"/>
    </xf>
    <xf numFmtId="166" fontId="57" fillId="2" borderId="0" xfId="1" applyNumberFormat="1" applyFont="1" applyFill="1" applyBorder="1" applyAlignment="1">
      <alignment horizontal="right" wrapText="1" shrinkToFit="1"/>
    </xf>
    <xf numFmtId="166" fontId="67" fillId="2" borderId="0" xfId="1" applyNumberFormat="1" applyFont="1" applyFill="1" applyBorder="1" applyAlignment="1">
      <alignment horizontal="right" wrapText="1" shrinkToFit="1"/>
    </xf>
    <xf numFmtId="168" fontId="57" fillId="2" borderId="0" xfId="2" applyNumberFormat="1" applyFont="1" applyFill="1" applyBorder="1" applyAlignment="1">
      <alignment horizontal="right" wrapText="1" shrinkToFit="1"/>
    </xf>
    <xf numFmtId="167" fontId="57" fillId="2" borderId="0" xfId="1" applyNumberFormat="1" applyFont="1" applyFill="1" applyBorder="1" applyAlignment="1">
      <alignment horizontal="right" wrapText="1" shrinkToFit="1"/>
    </xf>
    <xf numFmtId="167" fontId="58" fillId="2" borderId="0" xfId="1" applyNumberFormat="1" applyFont="1" applyFill="1" applyBorder="1" applyAlignment="1">
      <alignment horizontal="right" wrapText="1" shrinkToFit="1"/>
    </xf>
    <xf numFmtId="0" fontId="50" fillId="2" borderId="0" xfId="0" applyFont="1" applyFill="1" applyBorder="1" applyAlignment="1">
      <alignment horizontal="right" wrapText="1" shrinkToFit="1"/>
    </xf>
    <xf numFmtId="0" fontId="51" fillId="2" borderId="0" xfId="3" applyFont="1" applyFill="1" applyBorder="1" applyAlignment="1">
      <alignment horizontal="right" wrapText="1" shrinkToFit="1"/>
    </xf>
    <xf numFmtId="0" fontId="52" fillId="2" borderId="0" xfId="3" applyFont="1" applyFill="1" applyBorder="1" applyAlignment="1">
      <alignment horizontal="right" wrapText="1" shrinkToFit="1"/>
    </xf>
    <xf numFmtId="166" fontId="50" fillId="2" borderId="0" xfId="0" applyNumberFormat="1" applyFont="1" applyFill="1" applyBorder="1" applyAlignment="1">
      <alignment horizontal="right" wrapText="1" shrinkToFit="1"/>
    </xf>
    <xf numFmtId="0" fontId="51" fillId="41" borderId="0" xfId="0" applyFont="1" applyFill="1" applyAlignment="1">
      <alignment horizontal="right" wrapText="1" shrinkToFit="1"/>
    </xf>
    <xf numFmtId="0" fontId="51" fillId="41" borderId="0" xfId="0" applyFont="1" applyFill="1" applyBorder="1" applyAlignment="1">
      <alignment horizontal="right" wrapText="1" shrinkToFit="1"/>
    </xf>
    <xf numFmtId="173" fontId="52" fillId="3" borderId="0" xfId="4" applyNumberFormat="1" applyFont="1" applyFill="1" applyBorder="1" applyAlignment="1">
      <alignment horizontal="right" wrapText="1" shrinkToFit="1"/>
    </xf>
    <xf numFmtId="0" fontId="52" fillId="3" borderId="0" xfId="3" applyFont="1" applyFill="1" applyAlignment="1">
      <alignment horizontal="right" wrapText="1" shrinkToFit="1"/>
    </xf>
    <xf numFmtId="37" fontId="51" fillId="41" borderId="0" xfId="0" applyNumberFormat="1" applyFont="1" applyFill="1" applyAlignment="1">
      <alignment horizontal="right" wrapText="1" shrinkToFit="1"/>
    </xf>
    <xf numFmtId="167" fontId="51" fillId="41" borderId="0" xfId="1" applyNumberFormat="1" applyFont="1" applyFill="1" applyBorder="1" applyAlignment="1">
      <alignment horizontal="right" wrapText="1" shrinkToFit="1"/>
    </xf>
    <xf numFmtId="166" fontId="57" fillId="3" borderId="0" xfId="1" applyNumberFormat="1" applyFont="1" applyFill="1" applyBorder="1" applyAlignment="1">
      <alignment horizontal="right" wrapText="1" shrinkToFit="1"/>
    </xf>
    <xf numFmtId="0" fontId="67" fillId="3" borderId="0" xfId="0" applyFont="1" applyFill="1" applyAlignment="1">
      <alignment horizontal="right" wrapText="1" shrinkToFit="1"/>
    </xf>
    <xf numFmtId="170" fontId="67" fillId="3" borderId="0" xfId="0" applyNumberFormat="1" applyFont="1" applyFill="1" applyAlignment="1">
      <alignment horizontal="right" wrapText="1" shrinkToFit="1"/>
    </xf>
    <xf numFmtId="0" fontId="52" fillId="3" borderId="0" xfId="0" applyFont="1" applyFill="1" applyBorder="1" applyAlignment="1">
      <alignment horizontal="right" wrapText="1" shrinkToFit="1"/>
    </xf>
    <xf numFmtId="0" fontId="52" fillId="3" borderId="0" xfId="0" applyFont="1" applyFill="1" applyAlignment="1">
      <alignment horizontal="right" wrapText="1" shrinkToFit="1"/>
    </xf>
    <xf numFmtId="170" fontId="67" fillId="3" borderId="0" xfId="0" applyNumberFormat="1" applyFont="1" applyFill="1" applyBorder="1" applyAlignment="1">
      <alignment horizontal="right" wrapText="1" shrinkToFit="1"/>
    </xf>
    <xf numFmtId="0" fontId="67" fillId="41" borderId="0" xfId="0" applyFont="1" applyFill="1" applyAlignment="1">
      <alignment horizontal="right" wrapText="1" shrinkToFit="1"/>
    </xf>
    <xf numFmtId="167" fontId="52" fillId="3" borderId="0" xfId="1" applyNumberFormat="1" applyFont="1" applyFill="1" applyBorder="1" applyAlignment="1">
      <alignment horizontal="right" wrapText="1" shrinkToFit="1"/>
    </xf>
    <xf numFmtId="0" fontId="52" fillId="3" borderId="0" xfId="3" applyFont="1" applyFill="1" applyBorder="1" applyAlignment="1">
      <alignment horizontal="right" wrapText="1" shrinkToFit="1"/>
    </xf>
    <xf numFmtId="0" fontId="52" fillId="2" borderId="0" xfId="0" applyFont="1" applyFill="1" applyBorder="1" applyAlignment="1">
      <alignment horizontal="right" wrapText="1" shrinkToFit="1"/>
    </xf>
    <xf numFmtId="0" fontId="58" fillId="2" borderId="0" xfId="0" applyFont="1" applyFill="1" applyBorder="1" applyAlignment="1">
      <alignment wrapText="1"/>
    </xf>
    <xf numFmtId="0" fontId="58" fillId="41" borderId="16" xfId="0" applyFont="1" applyFill="1" applyBorder="1" applyAlignment="1">
      <alignment wrapText="1"/>
    </xf>
    <xf numFmtId="0" fontId="58" fillId="2" borderId="17" xfId="0" applyFont="1" applyFill="1" applyBorder="1" applyAlignment="1">
      <alignment wrapText="1"/>
    </xf>
    <xf numFmtId="0" fontId="58" fillId="41" borderId="0" xfId="0" applyFont="1" applyFill="1" applyBorder="1" applyAlignment="1">
      <alignment horizontal="left" wrapText="1"/>
    </xf>
    <xf numFmtId="0" fontId="58" fillId="2" borderId="0" xfId="0" applyFont="1" applyFill="1" applyBorder="1" applyAlignment="1">
      <alignment horizontal="left" wrapText="1"/>
    </xf>
    <xf numFmtId="0" fontId="58" fillId="3" borderId="17" xfId="0" applyFont="1" applyFill="1" applyBorder="1" applyAlignment="1">
      <alignment horizontal="left" wrapText="1"/>
    </xf>
    <xf numFmtId="0" fontId="52" fillId="41" borderId="0" xfId="0" applyFont="1" applyFill="1" applyBorder="1" applyAlignment="1">
      <alignment wrapText="1"/>
    </xf>
    <xf numFmtId="0" fontId="58" fillId="2" borderId="16" xfId="0" applyFont="1" applyFill="1" applyBorder="1" applyAlignment="1">
      <alignment wrapText="1"/>
    </xf>
    <xf numFmtId="0" fontId="58" fillId="41" borderId="0" xfId="0" applyFont="1" applyFill="1" applyBorder="1" applyAlignment="1">
      <alignment wrapText="1"/>
    </xf>
    <xf numFmtId="0" fontId="52" fillId="0" borderId="15" xfId="0" applyFont="1" applyFill="1" applyBorder="1" applyAlignment="1">
      <alignment wrapText="1"/>
    </xf>
    <xf numFmtId="0" fontId="51" fillId="2" borderId="0" xfId="9" applyFont="1" applyFill="1" applyAlignment="1">
      <alignment wrapText="1"/>
    </xf>
    <xf numFmtId="0" fontId="50" fillId="41" borderId="0" xfId="0" applyFont="1" applyFill="1" applyBorder="1" applyAlignment="1">
      <alignment wrapText="1"/>
    </xf>
    <xf numFmtId="0" fontId="52" fillId="3" borderId="0" xfId="0" applyFont="1" applyFill="1" applyBorder="1" applyAlignment="1">
      <alignment wrapText="1"/>
    </xf>
    <xf numFmtId="0" fontId="52" fillId="3" borderId="0" xfId="0" quotePrefix="1" applyFont="1" applyFill="1" applyBorder="1" applyAlignment="1">
      <alignment horizontal="left" wrapText="1"/>
    </xf>
    <xf numFmtId="0" fontId="52" fillId="41" borderId="0" xfId="0" applyFont="1" applyFill="1" applyBorder="1" applyAlignment="1">
      <alignment horizontal="left" wrapText="1" indent="1"/>
    </xf>
    <xf numFmtId="0" fontId="52" fillId="41" borderId="15" xfId="0" applyFont="1" applyFill="1" applyBorder="1" applyAlignment="1">
      <alignment horizontal="left" wrapText="1" indent="1"/>
    </xf>
    <xf numFmtId="0" fontId="52" fillId="3" borderId="0" xfId="0" applyFont="1" applyFill="1" applyBorder="1" applyAlignment="1">
      <alignment horizontal="left" wrapText="1" indent="1"/>
    </xf>
    <xf numFmtId="166" fontId="52" fillId="2" borderId="0" xfId="1" applyNumberFormat="1" applyFont="1" applyFill="1" applyBorder="1"/>
    <xf numFmtId="0" fontId="57" fillId="40" borderId="0" xfId="0" applyFont="1" applyFill="1" applyBorder="1" applyAlignment="1">
      <alignment vertical="center" wrapText="1" shrinkToFit="1"/>
    </xf>
    <xf numFmtId="0" fontId="52" fillId="2" borderId="0" xfId="0" applyFont="1" applyFill="1" applyBorder="1" applyAlignment="1">
      <alignment wrapText="1"/>
    </xf>
    <xf numFmtId="0" fontId="52" fillId="2" borderId="0" xfId="0" applyFont="1" applyFill="1" applyAlignment="1">
      <alignment wrapText="1"/>
    </xf>
    <xf numFmtId="0" fontId="64" fillId="2" borderId="0" xfId="3" applyFont="1" applyFill="1" applyBorder="1" applyAlignment="1">
      <alignment horizontal="left" vertical="center" wrapText="1"/>
    </xf>
    <xf numFmtId="0" fontId="66" fillId="2" borderId="0" xfId="0" applyFont="1" applyFill="1" applyBorder="1" applyAlignment="1">
      <alignment vertical="center"/>
    </xf>
    <xf numFmtId="0" fontId="52" fillId="2" borderId="0" xfId="0" applyFont="1" applyFill="1" applyBorder="1" applyAlignment="1">
      <alignment vertical="center" wrapText="1"/>
    </xf>
    <xf numFmtId="0" fontId="52" fillId="3" borderId="0" xfId="3" applyFont="1" applyFill="1" applyAlignment="1">
      <alignment vertical="center"/>
    </xf>
    <xf numFmtId="0" fontId="54" fillId="3" borderId="15" xfId="0" applyFont="1" applyFill="1" applyBorder="1" applyAlignment="1">
      <alignment vertical="center"/>
    </xf>
    <xf numFmtId="167" fontId="58" fillId="3" borderId="0" xfId="1" applyNumberFormat="1" applyFont="1" applyFill="1" applyBorder="1" applyAlignment="1">
      <alignment horizontal="right" vertical="center" wrapText="1" shrinkToFit="1"/>
    </xf>
    <xf numFmtId="0" fontId="52" fillId="3" borderId="0" xfId="3" applyFont="1" applyFill="1" applyAlignment="1">
      <alignment horizontal="right" vertical="center" wrapText="1" shrinkToFit="1"/>
    </xf>
    <xf numFmtId="170" fontId="67" fillId="3" borderId="0" xfId="0" applyNumberFormat="1" applyFont="1" applyFill="1" applyAlignment="1">
      <alignment horizontal="right" vertical="center" wrapText="1" shrinkToFit="1"/>
    </xf>
    <xf numFmtId="167" fontId="52" fillId="0" borderId="16" xfId="1" applyNumberFormat="1" applyFont="1" applyFill="1" applyBorder="1" applyAlignment="1">
      <alignment horizontal="right" vertical="center" wrapText="1" shrinkToFit="1"/>
    </xf>
    <xf numFmtId="167" fontId="52" fillId="0" borderId="0" xfId="1" applyNumberFormat="1" applyFont="1" applyFill="1" applyBorder="1" applyAlignment="1">
      <alignment horizontal="right" vertical="center" wrapText="1" shrinkToFit="1"/>
    </xf>
    <xf numFmtId="0" fontId="50" fillId="41" borderId="3" xfId="0" applyFont="1" applyFill="1" applyBorder="1" applyAlignment="1">
      <alignment vertical="center" wrapText="1"/>
    </xf>
    <xf numFmtId="0" fontId="52" fillId="3" borderId="0" xfId="0" applyFont="1" applyFill="1" applyBorder="1" applyAlignment="1">
      <alignment horizontal="left" vertical="center" wrapText="1" indent="1"/>
    </xf>
    <xf numFmtId="0" fontId="52" fillId="41" borderId="0" xfId="0" applyFont="1" applyFill="1" applyBorder="1" applyAlignment="1">
      <alignment horizontal="left" vertical="center" wrapText="1" indent="1"/>
    </xf>
    <xf numFmtId="0" fontId="67" fillId="41" borderId="0" xfId="0" applyFont="1" applyFill="1" applyAlignment="1">
      <alignment horizontal="right" vertical="center" wrapText="1" shrinkToFit="1"/>
    </xf>
    <xf numFmtId="0" fontId="58" fillId="41" borderId="0" xfId="0" applyFont="1" applyFill="1" applyBorder="1" applyAlignment="1">
      <alignment horizontal="left" vertical="center" wrapText="1" indent="1"/>
    </xf>
    <xf numFmtId="0" fontId="52" fillId="41" borderId="15" xfId="0" applyFont="1" applyFill="1" applyBorder="1" applyAlignment="1">
      <alignment horizontal="left" vertical="center" wrapText="1" indent="1"/>
    </xf>
    <xf numFmtId="166" fontId="50" fillId="2" borderId="0" xfId="0" applyNumberFormat="1" applyFont="1" applyFill="1" applyBorder="1" applyAlignment="1">
      <alignment horizontal="centerContinuous" vertical="center"/>
    </xf>
    <xf numFmtId="167" fontId="58" fillId="2" borderId="0" xfId="1" applyNumberFormat="1" applyFont="1" applyFill="1" applyAlignment="1">
      <alignment vertical="center"/>
    </xf>
    <xf numFmtId="0" fontId="51" fillId="3" borderId="0" xfId="9" applyFont="1" applyFill="1" applyAlignment="1">
      <alignment vertical="center"/>
    </xf>
    <xf numFmtId="168" fontId="50" fillId="3" borderId="0" xfId="2" applyNumberFormat="1" applyFont="1" applyFill="1" applyBorder="1" applyAlignment="1">
      <alignment vertical="center"/>
    </xf>
    <xf numFmtId="169" fontId="58" fillId="3" borderId="0" xfId="1" applyNumberFormat="1" applyFont="1" applyFill="1" applyBorder="1" applyAlignment="1">
      <alignment vertical="center"/>
    </xf>
    <xf numFmtId="166" fontId="58" fillId="2" borderId="0" xfId="1" applyNumberFormat="1" applyFont="1" applyFill="1" applyBorder="1" applyAlignment="1">
      <alignment vertical="center"/>
    </xf>
    <xf numFmtId="167" fontId="52" fillId="0" borderId="0" xfId="4" applyNumberFormat="1" applyFont="1" applyFill="1" applyBorder="1" applyAlignment="1">
      <alignment horizontal="right" vertical="center" wrapText="1" shrinkToFit="1"/>
    </xf>
    <xf numFmtId="167" fontId="67" fillId="0" borderId="0" xfId="4" applyNumberFormat="1" applyFont="1" applyFill="1" applyBorder="1" applyAlignment="1">
      <alignment horizontal="right" vertical="center" wrapText="1" shrinkToFit="1"/>
    </xf>
    <xf numFmtId="167" fontId="67" fillId="3" borderId="0" xfId="1" applyNumberFormat="1" applyFont="1" applyFill="1" applyBorder="1" applyAlignment="1">
      <alignment horizontal="right" vertical="center" wrapText="1" shrinkToFit="1"/>
    </xf>
    <xf numFmtId="165" fontId="67" fillId="3" borderId="0" xfId="1" applyFont="1" applyFill="1" applyBorder="1" applyAlignment="1">
      <alignment horizontal="right" vertical="center" wrapText="1" shrinkToFit="1"/>
    </xf>
    <xf numFmtId="167" fontId="52" fillId="3" borderId="17" xfId="1" applyNumberFormat="1" applyFont="1" applyFill="1" applyBorder="1" applyAlignment="1">
      <alignment horizontal="right" vertical="center" wrapText="1" shrinkToFit="1"/>
    </xf>
    <xf numFmtId="165" fontId="67" fillId="0" borderId="0" xfId="1" applyFont="1" applyFill="1" applyBorder="1" applyAlignment="1">
      <alignment horizontal="right" vertical="center" wrapText="1" shrinkToFit="1"/>
    </xf>
    <xf numFmtId="167" fontId="67" fillId="0" borderId="0" xfId="1" applyNumberFormat="1" applyFont="1" applyFill="1" applyBorder="1" applyAlignment="1">
      <alignment horizontal="right" vertical="center" wrapText="1" shrinkToFit="1"/>
    </xf>
    <xf numFmtId="165" fontId="57" fillId="2" borderId="0" xfId="1" applyFont="1" applyFill="1" applyBorder="1" applyAlignment="1">
      <alignment horizontal="right" vertical="center" wrapText="1" shrinkToFit="1"/>
    </xf>
    <xf numFmtId="166" fontId="50" fillId="2" borderId="0" xfId="1" quotePrefix="1" applyNumberFormat="1" applyFont="1" applyFill="1" applyBorder="1" applyAlignment="1">
      <alignment horizontal="right" vertical="center" wrapText="1" shrinkToFit="1"/>
    </xf>
    <xf numFmtId="167" fontId="50" fillId="2" borderId="0" xfId="1" applyNumberFormat="1" applyFont="1" applyFill="1" applyBorder="1" applyAlignment="1">
      <alignment horizontal="right" vertical="center" wrapText="1" shrinkToFit="1"/>
    </xf>
    <xf numFmtId="165" fontId="52" fillId="2" borderId="0" xfId="1" applyFont="1" applyFill="1" applyAlignment="1">
      <alignment horizontal="right" vertical="center" wrapText="1" shrinkToFit="1"/>
    </xf>
    <xf numFmtId="0" fontId="73" fillId="0" borderId="14" xfId="0" applyFont="1" applyBorder="1" applyAlignment="1">
      <alignment horizontal="right" vertical="center" wrapText="1" shrinkToFit="1"/>
    </xf>
    <xf numFmtId="165" fontId="52" fillId="2" borderId="0" xfId="1" applyFont="1" applyFill="1" applyBorder="1" applyAlignment="1">
      <alignment horizontal="right" vertical="center" wrapText="1" shrinkToFit="1"/>
    </xf>
    <xf numFmtId="170" fontId="52" fillId="3" borderId="0" xfId="3" applyNumberFormat="1" applyFont="1" applyFill="1" applyBorder="1" applyAlignment="1">
      <alignment horizontal="right" vertical="center" wrapText="1" shrinkToFit="1"/>
    </xf>
    <xf numFmtId="167" fontId="51" fillId="0" borderId="0" xfId="1" applyNumberFormat="1" applyFont="1" applyFill="1" applyBorder="1" applyAlignment="1">
      <alignment horizontal="right" vertical="center" wrapText="1" shrinkToFit="1"/>
    </xf>
    <xf numFmtId="170" fontId="52" fillId="0" borderId="0" xfId="3" applyNumberFormat="1" applyFont="1" applyFill="1" applyBorder="1" applyAlignment="1">
      <alignment horizontal="right" vertical="center" wrapText="1" shrinkToFit="1"/>
    </xf>
    <xf numFmtId="0" fontId="58" fillId="2" borderId="0" xfId="0" quotePrefix="1" applyFont="1" applyFill="1" applyBorder="1" applyAlignment="1">
      <alignment horizontal="left" vertical="center" wrapText="1"/>
    </xf>
    <xf numFmtId="0" fontId="52" fillId="3" borderId="0" xfId="0" applyFont="1" applyFill="1" applyAlignment="1">
      <alignment vertical="center" wrapText="1"/>
    </xf>
    <xf numFmtId="0" fontId="52" fillId="41" borderId="0" xfId="3" applyFont="1" applyFill="1" applyBorder="1" applyAlignment="1">
      <alignment vertical="center" wrapText="1"/>
    </xf>
    <xf numFmtId="167" fontId="52" fillId="0" borderId="0" xfId="1" applyNumberFormat="1" applyFont="1" applyFill="1" applyBorder="1" applyAlignment="1">
      <alignment horizontal="right"/>
    </xf>
    <xf numFmtId="0" fontId="58" fillId="3" borderId="0" xfId="0" applyFont="1" applyFill="1" applyBorder="1" applyAlignment="1">
      <alignment wrapText="1"/>
    </xf>
    <xf numFmtId="0" fontId="67" fillId="2" borderId="0" xfId="0" applyFont="1" applyFill="1"/>
    <xf numFmtId="166" fontId="52" fillId="2" borderId="0" xfId="1" applyNumberFormat="1" applyFont="1" applyFill="1"/>
    <xf numFmtId="0" fontId="57" fillId="40" borderId="0" xfId="0" applyFont="1" applyFill="1" applyBorder="1" applyAlignment="1">
      <alignment vertical="center" wrapText="1"/>
    </xf>
    <xf numFmtId="167" fontId="52" fillId="0" borderId="0" xfId="1" applyNumberFormat="1" applyFont="1" applyFill="1" applyBorder="1" applyAlignment="1">
      <alignment horizontal="right" wrapText="1" shrinkToFit="1"/>
    </xf>
    <xf numFmtId="0" fontId="51" fillId="2" borderId="0" xfId="0" applyFont="1" applyFill="1" applyBorder="1" applyAlignment="1">
      <alignment horizontal="right" vertical="center" wrapText="1" shrinkToFit="1"/>
    </xf>
    <xf numFmtId="0" fontId="51" fillId="2" borderId="0" xfId="0" applyFont="1" applyFill="1" applyAlignment="1">
      <alignment horizontal="right" vertical="center" wrapText="1" shrinkToFit="1"/>
    </xf>
    <xf numFmtId="0" fontId="51" fillId="0" borderId="0" xfId="0" applyFont="1" applyFill="1" applyBorder="1" applyAlignment="1">
      <alignment horizontal="right" vertical="center" wrapText="1" shrinkToFit="1"/>
    </xf>
    <xf numFmtId="166" fontId="50" fillId="3" borderId="0" xfId="0" applyNumberFormat="1" applyFont="1" applyFill="1" applyBorder="1" applyAlignment="1">
      <alignment horizontal="right" vertical="center" wrapText="1" shrinkToFit="1"/>
    </xf>
    <xf numFmtId="0" fontId="58" fillId="2" borderId="0" xfId="0" applyFont="1" applyFill="1" applyBorder="1" applyAlignment="1">
      <alignment horizontal="right" wrapText="1" shrinkToFit="1"/>
    </xf>
    <xf numFmtId="0" fontId="58" fillId="3" borderId="0" xfId="0" applyFont="1" applyFill="1" applyBorder="1" applyAlignment="1">
      <alignment horizontal="right" wrapText="1" shrinkToFit="1"/>
    </xf>
    <xf numFmtId="166" fontId="52" fillId="3" borderId="0" xfId="1" applyNumberFormat="1" applyFont="1" applyFill="1" applyBorder="1" applyAlignment="1">
      <alignment horizontal="right" vertical="center" wrapText="1" shrinkToFit="1"/>
    </xf>
    <xf numFmtId="167" fontId="50" fillId="2" borderId="0" xfId="1" applyNumberFormat="1" applyFont="1" applyFill="1" applyBorder="1" applyAlignment="1">
      <alignment horizontal="right" wrapText="1" shrinkToFit="1"/>
    </xf>
    <xf numFmtId="0" fontId="67" fillId="2" borderId="0" xfId="0" applyFont="1" applyFill="1" applyAlignment="1">
      <alignment horizontal="right" wrapText="1" shrinkToFit="1"/>
    </xf>
    <xf numFmtId="0" fontId="57" fillId="2" borderId="0" xfId="0" applyFont="1" applyFill="1" applyBorder="1" applyAlignment="1">
      <alignment horizontal="right" wrapText="1" shrinkToFit="1"/>
    </xf>
    <xf numFmtId="166" fontId="52" fillId="3" borderId="0" xfId="1" applyNumberFormat="1" applyFont="1" applyFill="1" applyBorder="1" applyAlignment="1">
      <alignment horizontal="right" wrapText="1" shrinkToFit="1"/>
    </xf>
    <xf numFmtId="0" fontId="55" fillId="2" borderId="0" xfId="0" applyFont="1" applyFill="1" applyBorder="1" applyAlignment="1">
      <alignment horizontal="right" wrapText="1" shrinkToFit="1"/>
    </xf>
    <xf numFmtId="168" fontId="52" fillId="2" borderId="0" xfId="2" applyNumberFormat="1" applyFont="1" applyFill="1" applyBorder="1" applyAlignment="1">
      <alignment horizontal="right" wrapText="1" shrinkToFit="1"/>
    </xf>
    <xf numFmtId="166" fontId="76" fillId="3" borderId="0" xfId="1" applyNumberFormat="1" applyFont="1" applyFill="1" applyBorder="1" applyAlignment="1">
      <alignment horizontal="right" wrapText="1" shrinkToFit="1"/>
    </xf>
    <xf numFmtId="0" fontId="51" fillId="2" borderId="0" xfId="3" quotePrefix="1" applyFont="1" applyFill="1" applyBorder="1" applyAlignment="1">
      <alignment horizontal="right" vertical="center" wrapText="1" shrinkToFit="1"/>
    </xf>
    <xf numFmtId="0" fontId="58" fillId="2" borderId="0" xfId="0" applyFont="1" applyFill="1" applyBorder="1" applyAlignment="1">
      <alignment horizontal="right" vertical="center" wrapText="1" shrinkToFit="1"/>
    </xf>
    <xf numFmtId="0" fontId="58" fillId="2" borderId="0" xfId="0" quotePrefix="1" applyFont="1" applyFill="1" applyBorder="1" applyAlignment="1">
      <alignment horizontal="right" vertical="center" wrapText="1" shrinkToFit="1"/>
    </xf>
    <xf numFmtId="0" fontId="58" fillId="3" borderId="0" xfId="0" applyFont="1" applyFill="1" applyBorder="1" applyAlignment="1">
      <alignment horizontal="right" vertical="center" wrapText="1" shrinkToFit="1"/>
    </xf>
    <xf numFmtId="165" fontId="52" fillId="2" borderId="0" xfId="1" quotePrefix="1" applyNumberFormat="1" applyFont="1" applyFill="1" applyBorder="1" applyAlignment="1">
      <alignment horizontal="right" vertical="center" wrapText="1" shrinkToFit="1"/>
    </xf>
    <xf numFmtId="166" fontId="52" fillId="2" borderId="0" xfId="1" applyNumberFormat="1" applyFont="1" applyFill="1" applyBorder="1" applyAlignment="1">
      <alignment horizontal="right" vertical="center" wrapText="1" shrinkToFit="1"/>
    </xf>
    <xf numFmtId="166" fontId="58" fillId="2" borderId="0" xfId="1" applyNumberFormat="1" applyFont="1" applyFill="1" applyBorder="1" applyAlignment="1">
      <alignment horizontal="right" vertical="center" wrapText="1" shrinkToFit="1"/>
    </xf>
    <xf numFmtId="0" fontId="75" fillId="0" borderId="0" xfId="0" applyFont="1" applyFill="1" applyBorder="1" applyAlignment="1">
      <alignment horizontal="right" vertical="center" wrapText="1" shrinkToFit="1"/>
    </xf>
    <xf numFmtId="0" fontId="55" fillId="2" borderId="0" xfId="0" applyFont="1" applyFill="1" applyBorder="1" applyAlignment="1">
      <alignment horizontal="right" vertical="center" wrapText="1" shrinkToFit="1"/>
    </xf>
    <xf numFmtId="166" fontId="52" fillId="3" borderId="0" xfId="0" applyNumberFormat="1" applyFont="1" applyFill="1" applyBorder="1" applyAlignment="1">
      <alignment horizontal="right" vertical="center" wrapText="1" shrinkToFit="1"/>
    </xf>
    <xf numFmtId="0" fontId="52" fillId="0" borderId="0" xfId="0" applyFont="1" applyFill="1" applyAlignment="1">
      <alignment horizontal="right" vertical="center" wrapText="1" shrinkToFit="1"/>
    </xf>
    <xf numFmtId="165" fontId="58" fillId="2" borderId="0" xfId="1" applyNumberFormat="1" applyFont="1" applyFill="1" applyAlignment="1">
      <alignment horizontal="right" vertical="center" wrapText="1" shrinkToFit="1"/>
    </xf>
    <xf numFmtId="165" fontId="76" fillId="0" borderId="0" xfId="1" applyNumberFormat="1" applyFont="1" applyFill="1" applyBorder="1" applyAlignment="1">
      <alignment horizontal="right" vertical="center" wrapText="1" shrinkToFit="1"/>
    </xf>
    <xf numFmtId="165" fontId="50" fillId="2" borderId="0" xfId="1" applyNumberFormat="1" applyFont="1" applyFill="1" applyBorder="1" applyAlignment="1">
      <alignment horizontal="right" vertical="center" wrapText="1" shrinkToFit="1"/>
    </xf>
    <xf numFmtId="165" fontId="58" fillId="2" borderId="0" xfId="1" applyNumberFormat="1" applyFont="1" applyFill="1" applyBorder="1" applyAlignment="1">
      <alignment horizontal="right" vertical="center" wrapText="1" shrinkToFit="1"/>
    </xf>
    <xf numFmtId="10" fontId="50" fillId="2" borderId="0" xfId="2" applyNumberFormat="1" applyFont="1" applyFill="1" applyBorder="1" applyAlignment="1">
      <alignment horizontal="right" vertical="center" wrapText="1" shrinkToFit="1"/>
    </xf>
    <xf numFmtId="9" fontId="78" fillId="2" borderId="0" xfId="2" applyFont="1" applyFill="1" applyBorder="1" applyAlignment="1">
      <alignment horizontal="right" vertical="center" wrapText="1" shrinkToFit="1"/>
    </xf>
    <xf numFmtId="166" fontId="70" fillId="2" borderId="0" xfId="1" applyNumberFormat="1" applyFont="1" applyFill="1" applyBorder="1" applyAlignment="1">
      <alignment horizontal="right" vertical="center" wrapText="1" shrinkToFit="1"/>
    </xf>
    <xf numFmtId="167" fontId="70" fillId="2" borderId="0" xfId="1" applyNumberFormat="1" applyFont="1" applyFill="1" applyBorder="1" applyAlignment="1">
      <alignment horizontal="right" vertical="center" wrapText="1" shrinkToFit="1"/>
    </xf>
    <xf numFmtId="167" fontId="79" fillId="2" borderId="0" xfId="1" applyNumberFormat="1" applyFont="1" applyFill="1" applyBorder="1" applyAlignment="1">
      <alignment horizontal="right" vertical="center" wrapText="1" shrinkToFit="1"/>
    </xf>
    <xf numFmtId="167" fontId="70" fillId="3" borderId="0" xfId="1" applyNumberFormat="1" applyFont="1" applyFill="1" applyBorder="1" applyAlignment="1">
      <alignment horizontal="right" vertical="center" wrapText="1" shrinkToFit="1"/>
    </xf>
    <xf numFmtId="0" fontId="69" fillId="2" borderId="0" xfId="0" applyFont="1" applyFill="1" applyAlignment="1">
      <alignment horizontal="right" vertical="center" wrapText="1" shrinkToFit="1"/>
    </xf>
    <xf numFmtId="0" fontId="69" fillId="3" borderId="0" xfId="0" applyFont="1" applyFill="1" applyAlignment="1">
      <alignment horizontal="right" vertical="center" wrapText="1" shrinkToFit="1"/>
    </xf>
    <xf numFmtId="0" fontId="69" fillId="3" borderId="0" xfId="0" applyFont="1" applyFill="1" applyBorder="1" applyAlignment="1">
      <alignment horizontal="right" vertical="center" wrapText="1" shrinkToFit="1"/>
    </xf>
    <xf numFmtId="0" fontId="80" fillId="3" borderId="0" xfId="0" applyFont="1" applyFill="1" applyBorder="1" applyAlignment="1">
      <alignment horizontal="right" vertical="center" wrapText="1" shrinkToFit="1"/>
    </xf>
    <xf numFmtId="0" fontId="80" fillId="3" borderId="0" xfId="0" applyFont="1" applyFill="1" applyAlignment="1">
      <alignment horizontal="right" vertical="center" wrapText="1" shrinkToFit="1"/>
    </xf>
    <xf numFmtId="0" fontId="69" fillId="2" borderId="0" xfId="0" applyFont="1" applyFill="1" applyBorder="1" applyAlignment="1">
      <alignment horizontal="right" vertical="center" wrapText="1" shrinkToFit="1"/>
    </xf>
    <xf numFmtId="166" fontId="69" fillId="2" borderId="0" xfId="0" applyNumberFormat="1" applyFont="1" applyFill="1" applyAlignment="1">
      <alignment horizontal="right" vertical="center" wrapText="1" shrinkToFit="1"/>
    </xf>
    <xf numFmtId="0" fontId="52" fillId="0" borderId="0" xfId="0" applyFont="1" applyFill="1" applyBorder="1" applyAlignment="1">
      <alignment horizontal="right" vertical="center" wrapText="1" shrinkToFit="1"/>
    </xf>
    <xf numFmtId="0" fontId="58" fillId="2" borderId="0" xfId="0" applyFont="1" applyFill="1" applyBorder="1" applyAlignment="1">
      <alignment horizontal="left" vertical="center" wrapText="1" indent="1"/>
    </xf>
    <xf numFmtId="0" fontId="58" fillId="2" borderId="0" xfId="0" quotePrefix="1" applyFont="1" applyFill="1" applyBorder="1" applyAlignment="1">
      <alignment horizontal="left" vertical="center" wrapText="1" indent="1"/>
    </xf>
    <xf numFmtId="0" fontId="64" fillId="0" borderId="0" xfId="0" applyFont="1" applyFill="1" applyBorder="1" applyAlignment="1">
      <alignment horizontal="right" vertical="center" wrapText="1" shrinkToFit="1"/>
    </xf>
    <xf numFmtId="167" fontId="66" fillId="2" borderId="0" xfId="1" applyNumberFormat="1" applyFont="1" applyFill="1" applyBorder="1" applyAlignment="1">
      <alignment horizontal="right" vertical="center" wrapText="1" shrinkToFit="1"/>
    </xf>
    <xf numFmtId="0" fontId="66" fillId="2" borderId="0" xfId="0" applyFont="1" applyFill="1" applyBorder="1" applyAlignment="1">
      <alignment horizontal="right" vertical="center" wrapText="1" shrinkToFit="1"/>
    </xf>
    <xf numFmtId="171" fontId="64" fillId="2" borderId="0" xfId="0" applyNumberFormat="1" applyFont="1" applyFill="1" applyBorder="1" applyAlignment="1">
      <alignment horizontal="right" vertical="center" wrapText="1" shrinkToFit="1"/>
    </xf>
    <xf numFmtId="167" fontId="52" fillId="0" borderId="17" xfId="1" applyNumberFormat="1" applyFont="1" applyFill="1" applyBorder="1" applyAlignment="1">
      <alignment horizontal="right" vertical="center" wrapText="1" shrinkToFit="1"/>
    </xf>
    <xf numFmtId="0" fontId="58" fillId="41" borderId="17" xfId="0" applyFont="1" applyFill="1" applyBorder="1" applyAlignment="1">
      <alignment horizontal="left" vertical="center" wrapText="1"/>
    </xf>
    <xf numFmtId="166" fontId="52" fillId="41" borderId="17" xfId="1" quotePrefix="1" applyNumberFormat="1" applyFont="1" applyFill="1" applyBorder="1" applyAlignment="1">
      <alignment horizontal="right" vertical="center" wrapText="1" shrinkToFit="1"/>
    </xf>
    <xf numFmtId="167" fontId="52" fillId="41" borderId="17" xfId="1" applyNumberFormat="1" applyFont="1" applyFill="1" applyBorder="1" applyAlignment="1">
      <alignment horizontal="right" vertical="center" wrapText="1" shrinkToFit="1"/>
    </xf>
    <xf numFmtId="0" fontId="58" fillId="41" borderId="0" xfId="0" quotePrefix="1" applyFont="1" applyFill="1" applyBorder="1" applyAlignment="1">
      <alignment horizontal="left" vertical="center" wrapText="1" indent="1"/>
    </xf>
    <xf numFmtId="166" fontId="52" fillId="41" borderId="0" xfId="1" quotePrefix="1" applyNumberFormat="1" applyFont="1" applyFill="1" applyBorder="1" applyAlignment="1">
      <alignment horizontal="right" vertical="center" wrapText="1" shrinkToFit="1"/>
    </xf>
    <xf numFmtId="166" fontId="52" fillId="41" borderId="17" xfId="1" applyNumberFormat="1" applyFont="1" applyFill="1" applyBorder="1" applyAlignment="1">
      <alignment horizontal="right" vertical="center" wrapText="1" shrinkToFit="1"/>
    </xf>
    <xf numFmtId="9" fontId="76" fillId="2" borderId="0" xfId="2" applyNumberFormat="1" applyFont="1" applyFill="1" applyBorder="1" applyAlignment="1">
      <alignment horizontal="right" vertical="center" wrapText="1" shrinkToFit="1"/>
    </xf>
    <xf numFmtId="167" fontId="58" fillId="0" borderId="0" xfId="1" applyNumberFormat="1" applyFont="1" applyFill="1" applyBorder="1" applyAlignment="1">
      <alignment horizontal="right" vertical="center" wrapText="1" shrinkToFit="1"/>
    </xf>
    <xf numFmtId="9" fontId="76" fillId="3" borderId="0" xfId="2" applyNumberFormat="1" applyFont="1" applyFill="1" applyBorder="1" applyAlignment="1">
      <alignment horizontal="right" vertical="center" wrapText="1" shrinkToFit="1"/>
    </xf>
    <xf numFmtId="0" fontId="58" fillId="2" borderId="16" xfId="0" applyFont="1" applyFill="1" applyBorder="1" applyAlignment="1">
      <alignment horizontal="left" vertical="center" wrapText="1" indent="1"/>
    </xf>
    <xf numFmtId="166" fontId="52" fillId="2" borderId="16" xfId="1" applyNumberFormat="1" applyFont="1" applyFill="1" applyBorder="1" applyAlignment="1">
      <alignment horizontal="right" vertical="center" wrapText="1" shrinkToFit="1"/>
    </xf>
    <xf numFmtId="166" fontId="52" fillId="2" borderId="16" xfId="1" quotePrefix="1" applyNumberFormat="1" applyFont="1" applyFill="1" applyBorder="1" applyAlignment="1">
      <alignment horizontal="right" vertical="center" wrapText="1" shrinkToFit="1"/>
    </xf>
    <xf numFmtId="168" fontId="74" fillId="41" borderId="0" xfId="2" quotePrefix="1" applyNumberFormat="1" applyFont="1" applyFill="1" applyBorder="1" applyAlignment="1">
      <alignment horizontal="right" vertical="center" wrapText="1" shrinkToFit="1"/>
    </xf>
    <xf numFmtId="0" fontId="58" fillId="41" borderId="17" xfId="0" applyFont="1" applyFill="1" applyBorder="1" applyAlignment="1">
      <alignment vertical="center" wrapText="1"/>
    </xf>
    <xf numFmtId="0" fontId="58" fillId="41" borderId="15" xfId="0" applyFont="1" applyFill="1" applyBorder="1" applyAlignment="1">
      <alignment vertical="center" wrapText="1"/>
    </xf>
    <xf numFmtId="166" fontId="52" fillId="41" borderId="15" xfId="1" applyNumberFormat="1" applyFont="1" applyFill="1" applyBorder="1" applyAlignment="1">
      <alignment horizontal="right" vertical="center" wrapText="1" shrinkToFit="1"/>
    </xf>
    <xf numFmtId="0" fontId="58" fillId="2" borderId="15" xfId="0" applyFont="1" applyFill="1" applyBorder="1" applyAlignment="1">
      <alignment horizontal="right" vertical="center" wrapText="1" shrinkToFit="1"/>
    </xf>
    <xf numFmtId="167" fontId="67" fillId="3" borderId="15" xfId="1" applyNumberFormat="1" applyFont="1" applyFill="1" applyBorder="1" applyAlignment="1">
      <alignment horizontal="right" vertical="center" wrapText="1" shrinkToFit="1"/>
    </xf>
    <xf numFmtId="166" fontId="67" fillId="3" borderId="0" xfId="1" applyNumberFormat="1" applyFont="1" applyFill="1" applyBorder="1" applyAlignment="1">
      <alignment horizontal="right" vertical="center" wrapText="1" shrinkToFit="1"/>
    </xf>
    <xf numFmtId="166" fontId="67" fillId="3" borderId="0" xfId="1" applyNumberFormat="1" applyFont="1" applyFill="1" applyBorder="1" applyAlignment="1">
      <alignment horizontal="right" wrapText="1" shrinkToFit="1"/>
    </xf>
    <xf numFmtId="0" fontId="50" fillId="3" borderId="0" xfId="0" applyFont="1" applyFill="1" applyBorder="1" applyAlignment="1">
      <alignment vertical="center"/>
    </xf>
    <xf numFmtId="0" fontId="51" fillId="2" borderId="0" xfId="0" applyFont="1" applyFill="1" applyAlignment="1">
      <alignment vertical="center"/>
    </xf>
    <xf numFmtId="166" fontId="52" fillId="3" borderId="0" xfId="3" applyNumberFormat="1" applyFont="1" applyFill="1" applyAlignment="1">
      <alignment horizontal="right" vertical="center" wrapText="1" shrinkToFit="1"/>
    </xf>
    <xf numFmtId="167" fontId="52" fillId="3" borderId="0" xfId="3" applyNumberFormat="1" applyFont="1" applyFill="1" applyBorder="1" applyAlignment="1">
      <alignment horizontal="right" vertical="center" wrapText="1" shrinkToFit="1"/>
    </xf>
    <xf numFmtId="167" fontId="52" fillId="41" borderId="0" xfId="3" applyNumberFormat="1" applyFont="1" applyFill="1" applyBorder="1" applyAlignment="1">
      <alignment horizontal="right" vertical="center" wrapText="1" shrinkToFit="1"/>
    </xf>
    <xf numFmtId="167" fontId="52" fillId="41" borderId="15" xfId="3" applyNumberFormat="1" applyFont="1" applyFill="1" applyBorder="1" applyAlignment="1">
      <alignment horizontal="right" vertical="center" wrapText="1" shrinkToFit="1"/>
    </xf>
    <xf numFmtId="170" fontId="52" fillId="2" borderId="16" xfId="0" applyNumberFormat="1" applyFont="1" applyFill="1" applyBorder="1" applyAlignment="1">
      <alignment horizontal="right" vertical="center" wrapText="1" shrinkToFit="1"/>
    </xf>
    <xf numFmtId="170" fontId="52" fillId="41" borderId="0" xfId="0" applyNumberFormat="1" applyFont="1" applyFill="1" applyAlignment="1">
      <alignment horizontal="right" vertical="center" wrapText="1" shrinkToFit="1"/>
    </xf>
    <xf numFmtId="170" fontId="52" fillId="41" borderId="0" xfId="0" applyNumberFormat="1" applyFont="1" applyFill="1" applyBorder="1" applyAlignment="1">
      <alignment horizontal="right" vertical="center" wrapText="1" shrinkToFit="1"/>
    </xf>
    <xf numFmtId="0" fontId="52" fillId="3" borderId="15" xfId="0" applyFont="1" applyFill="1" applyBorder="1" applyAlignment="1">
      <alignment vertical="center" wrapText="1"/>
    </xf>
    <xf numFmtId="0" fontId="52" fillId="3" borderId="15" xfId="0" applyFont="1" applyFill="1" applyBorder="1" applyAlignment="1">
      <alignment horizontal="right" vertical="center" wrapText="1" shrinkToFit="1"/>
    </xf>
    <xf numFmtId="0" fontId="58" fillId="41" borderId="0" xfId="0" applyFont="1" applyFill="1" applyBorder="1" applyAlignment="1">
      <alignment horizontal="right" vertical="center" wrapText="1" shrinkToFit="1"/>
    </xf>
    <xf numFmtId="165" fontId="58" fillId="41" borderId="0" xfId="1" applyNumberFormat="1" applyFont="1" applyFill="1" applyAlignment="1">
      <alignment horizontal="right" vertical="center" wrapText="1" shrinkToFit="1"/>
    </xf>
    <xf numFmtId="0" fontId="58" fillId="41" borderId="15" xfId="0" applyFont="1" applyFill="1" applyBorder="1" applyAlignment="1">
      <alignment horizontal="right" vertical="center" wrapText="1" shrinkToFit="1"/>
    </xf>
    <xf numFmtId="0" fontId="52" fillId="41" borderId="15" xfId="0" applyFont="1" applyFill="1" applyBorder="1" applyAlignment="1">
      <alignment horizontal="right" vertical="center" wrapText="1" shrinkToFit="1"/>
    </xf>
    <xf numFmtId="165" fontId="58" fillId="41" borderId="15" xfId="1" applyNumberFormat="1" applyFont="1" applyFill="1" applyBorder="1" applyAlignment="1">
      <alignment horizontal="right" vertical="center" wrapText="1" shrinkToFit="1"/>
    </xf>
    <xf numFmtId="170" fontId="52" fillId="0" borderId="0" xfId="0" applyNumberFormat="1" applyFont="1" applyFill="1" applyBorder="1" applyAlignment="1">
      <alignment horizontal="right" vertical="center" wrapText="1" shrinkToFit="1"/>
    </xf>
    <xf numFmtId="0" fontId="52" fillId="0" borderId="0" xfId="9" applyFont="1" applyAlignment="1"/>
    <xf numFmtId="0" fontId="52" fillId="0" borderId="0" xfId="9" applyFont="1"/>
    <xf numFmtId="0" fontId="81" fillId="2" borderId="0" xfId="9" applyFont="1" applyFill="1" applyBorder="1"/>
    <xf numFmtId="0" fontId="53" fillId="2" borderId="0" xfId="9" applyFont="1" applyFill="1" applyBorder="1" applyAlignment="1"/>
    <xf numFmtId="0" fontId="81" fillId="2" borderId="0" xfId="9" applyFont="1" applyFill="1" applyBorder="1" applyAlignment="1">
      <alignment horizontal="center"/>
    </xf>
    <xf numFmtId="0" fontId="53" fillId="0" borderId="0" xfId="9" applyFont="1" applyFill="1" applyBorder="1" applyAlignment="1"/>
    <xf numFmtId="0" fontId="53" fillId="0" borderId="0" xfId="9" applyFont="1" applyFill="1" applyBorder="1" applyAlignment="1">
      <alignment horizontal="center"/>
    </xf>
    <xf numFmtId="0" fontId="81" fillId="2" borderId="0" xfId="9" applyFont="1" applyFill="1" applyBorder="1" applyAlignment="1">
      <alignment horizontal="centerContinuous"/>
    </xf>
    <xf numFmtId="0" fontId="67" fillId="2" borderId="0" xfId="9" applyFont="1" applyFill="1"/>
    <xf numFmtId="0" fontId="67" fillId="2" borderId="0" xfId="9" applyFont="1" applyFill="1" applyBorder="1"/>
    <xf numFmtId="0" fontId="50" fillId="2" borderId="0" xfId="9" applyFont="1" applyFill="1" applyBorder="1" applyAlignment="1">
      <alignment horizontal="right"/>
    </xf>
    <xf numFmtId="0" fontId="52" fillId="2" borderId="0" xfId="9" applyFont="1" applyFill="1" applyBorder="1" applyAlignment="1">
      <alignment horizontal="center"/>
    </xf>
    <xf numFmtId="0" fontId="51" fillId="2" borderId="0" xfId="9" applyFont="1" applyFill="1" applyBorder="1" applyAlignment="1">
      <alignment horizontal="right"/>
    </xf>
    <xf numFmtId="166" fontId="52" fillId="2" borderId="0" xfId="9" applyNumberFormat="1" applyFont="1" applyFill="1"/>
    <xf numFmtId="166" fontId="67" fillId="2" borderId="0" xfId="9" applyNumberFormat="1" applyFont="1" applyFill="1"/>
    <xf numFmtId="174" fontId="81" fillId="2" borderId="0" xfId="9" applyNumberFormat="1" applyFont="1" applyFill="1" applyBorder="1" applyAlignment="1">
      <alignment horizontal="centerContinuous"/>
    </xf>
    <xf numFmtId="1" fontId="52" fillId="2" borderId="0" xfId="9" applyNumberFormat="1" applyFont="1" applyFill="1"/>
    <xf numFmtId="43" fontId="52" fillId="3" borderId="0" xfId="9" applyNumberFormat="1" applyFont="1" applyFill="1"/>
    <xf numFmtId="166" fontId="52" fillId="2" borderId="0" xfId="9" applyNumberFormat="1" applyFont="1" applyFill="1" applyBorder="1" applyAlignment="1">
      <alignment horizontal="center"/>
    </xf>
    <xf numFmtId="9" fontId="52" fillId="2" borderId="0" xfId="2" applyNumberFormat="1" applyFont="1" applyFill="1"/>
    <xf numFmtId="167" fontId="52" fillId="0" borderId="0" xfId="1" applyNumberFormat="1" applyFont="1" applyFill="1" applyAlignment="1">
      <alignment horizontal="right"/>
    </xf>
    <xf numFmtId="166" fontId="52" fillId="38" borderId="0" xfId="9" applyNumberFormat="1" applyFont="1" applyFill="1"/>
    <xf numFmtId="166" fontId="50" fillId="2" borderId="0" xfId="1" applyNumberFormat="1" applyFont="1" applyFill="1" applyBorder="1"/>
    <xf numFmtId="166" fontId="50" fillId="2" borderId="0" xfId="1" applyNumberFormat="1" applyFont="1" applyFill="1"/>
    <xf numFmtId="167" fontId="77" fillId="2" borderId="0" xfId="1" applyNumberFormat="1" applyFont="1" applyFill="1" applyBorder="1"/>
    <xf numFmtId="0" fontId="52" fillId="3" borderId="0" xfId="9" applyFont="1" applyFill="1"/>
    <xf numFmtId="166" fontId="50" fillId="2" borderId="0" xfId="9" applyNumberFormat="1" applyFont="1" applyFill="1" applyBorder="1" applyAlignment="1">
      <alignment horizontal="center"/>
    </xf>
    <xf numFmtId="0" fontId="83" fillId="2" borderId="0" xfId="9" applyFont="1" applyFill="1"/>
    <xf numFmtId="166" fontId="52" fillId="2" borderId="0" xfId="2" applyNumberFormat="1" applyFont="1" applyFill="1"/>
    <xf numFmtId="167" fontId="52" fillId="2" borderId="0" xfId="1" applyNumberFormat="1" applyFont="1" applyFill="1"/>
    <xf numFmtId="166" fontId="83" fillId="2" borderId="0" xfId="9" applyNumberFormat="1" applyFont="1" applyFill="1"/>
    <xf numFmtId="166" fontId="83" fillId="2" borderId="0" xfId="1" applyNumberFormat="1" applyFont="1" applyFill="1"/>
    <xf numFmtId="166" fontId="52" fillId="2" borderId="0" xfId="9" applyNumberFormat="1" applyFont="1" applyFill="1" applyBorder="1"/>
    <xf numFmtId="0" fontId="50" fillId="2" borderId="0" xfId="9" applyFont="1" applyFill="1" applyBorder="1"/>
    <xf numFmtId="0" fontId="51" fillId="3" borderId="0" xfId="9" applyFont="1" applyFill="1" applyBorder="1"/>
    <xf numFmtId="0" fontId="57" fillId="2" borderId="0" xfId="9" applyFont="1" applyFill="1" applyBorder="1"/>
    <xf numFmtId="0" fontId="67" fillId="2" borderId="0" xfId="0" applyFont="1" applyFill="1" applyBorder="1" applyAlignment="1">
      <alignment horizontal="centerContinuous"/>
    </xf>
    <xf numFmtId="166" fontId="52" fillId="2" borderId="0" xfId="1" applyNumberFormat="1" applyFont="1" applyFill="1" applyBorder="1" applyAlignment="1">
      <alignment horizontal="centerContinuous"/>
    </xf>
    <xf numFmtId="0" fontId="85" fillId="2" borderId="0" xfId="0" applyFont="1" applyFill="1" applyBorder="1" applyAlignment="1">
      <alignment horizontal="center"/>
    </xf>
    <xf numFmtId="166" fontId="55" fillId="2" borderId="0" xfId="1" applyNumberFormat="1" applyFont="1" applyFill="1" applyBorder="1" applyAlignment="1">
      <alignment horizontal="center"/>
    </xf>
    <xf numFmtId="168" fontId="67" fillId="2" borderId="0" xfId="2" applyNumberFormat="1" applyFont="1" applyFill="1" applyBorder="1"/>
    <xf numFmtId="0" fontId="67" fillId="2" borderId="0" xfId="0" applyFont="1" applyFill="1" applyBorder="1"/>
    <xf numFmtId="0" fontId="77" fillId="2" borderId="0" xfId="9" applyFont="1" applyFill="1"/>
    <xf numFmtId="0" fontId="77" fillId="2" borderId="0" xfId="9" applyFont="1" applyFill="1" applyBorder="1"/>
    <xf numFmtId="168" fontId="67" fillId="2" borderId="0" xfId="0" applyNumberFormat="1" applyFont="1" applyFill="1" applyBorder="1"/>
    <xf numFmtId="9" fontId="77" fillId="2" borderId="0" xfId="2" applyFont="1" applyFill="1" applyBorder="1"/>
    <xf numFmtId="0" fontId="67" fillId="3" borderId="0" xfId="9" applyFont="1" applyFill="1" applyBorder="1"/>
    <xf numFmtId="0" fontId="52" fillId="0" borderId="0" xfId="9" applyFont="1" applyFill="1" applyBorder="1"/>
    <xf numFmtId="0" fontId="77" fillId="0" borderId="0" xfId="9" applyFont="1" applyFill="1" applyBorder="1"/>
    <xf numFmtId="0" fontId="52" fillId="3" borderId="0" xfId="9" applyFont="1" applyFill="1" applyBorder="1"/>
    <xf numFmtId="0" fontId="52" fillId="2" borderId="0" xfId="9" applyFont="1" applyFill="1" applyAlignment="1">
      <alignment wrapText="1"/>
    </xf>
    <xf numFmtId="0" fontId="58" fillId="2" borderId="0" xfId="9" applyFont="1" applyFill="1" applyAlignment="1">
      <alignment wrapText="1"/>
    </xf>
    <xf numFmtId="0" fontId="58" fillId="2" borderId="0" xfId="9" applyFont="1" applyFill="1" applyBorder="1" applyAlignment="1">
      <alignment wrapText="1"/>
    </xf>
    <xf numFmtId="0" fontId="56" fillId="2" borderId="0" xfId="9" applyFont="1" applyFill="1" applyAlignment="1">
      <alignment wrapText="1"/>
    </xf>
    <xf numFmtId="0" fontId="52" fillId="2" borderId="0" xfId="9" applyFont="1" applyFill="1" applyBorder="1" applyAlignment="1">
      <alignment wrapText="1"/>
    </xf>
    <xf numFmtId="0" fontId="82" fillId="2" borderId="0" xfId="9" applyFont="1" applyFill="1" applyBorder="1" applyAlignment="1">
      <alignment wrapText="1"/>
    </xf>
    <xf numFmtId="167" fontId="58" fillId="0" borderId="0" xfId="1" applyNumberFormat="1" applyFont="1" applyFill="1" applyAlignment="1">
      <alignment horizontal="right" wrapText="1" shrinkToFit="1"/>
    </xf>
    <xf numFmtId="0" fontId="51" fillId="2" borderId="0" xfId="1" applyNumberFormat="1" applyFont="1" applyFill="1" applyBorder="1" applyAlignment="1">
      <alignment horizontal="right" wrapText="1" shrinkToFit="1"/>
    </xf>
    <xf numFmtId="0" fontId="52" fillId="2" borderId="0" xfId="9" applyFont="1" applyFill="1" applyAlignment="1">
      <alignment horizontal="right" wrapText="1" shrinkToFit="1"/>
    </xf>
    <xf numFmtId="0" fontId="67" fillId="2" borderId="0" xfId="9" applyFont="1" applyFill="1" applyAlignment="1">
      <alignment horizontal="right" wrapText="1" shrinkToFit="1"/>
    </xf>
    <xf numFmtId="0" fontId="67" fillId="2" borderId="0" xfId="9" applyFont="1" applyFill="1" applyBorder="1" applyAlignment="1">
      <alignment horizontal="right" wrapText="1" shrinkToFit="1"/>
    </xf>
    <xf numFmtId="0" fontId="52" fillId="2" borderId="0" xfId="9" applyFont="1" applyFill="1" applyBorder="1" applyAlignment="1">
      <alignment horizontal="right" wrapText="1" shrinkToFit="1"/>
    </xf>
    <xf numFmtId="0" fontId="57" fillId="2" borderId="0" xfId="9" applyFont="1" applyFill="1" applyBorder="1" applyAlignment="1">
      <alignment horizontal="right" vertical="center" wrapText="1" shrinkToFit="1"/>
    </xf>
    <xf numFmtId="166" fontId="67" fillId="2" borderId="0" xfId="9" applyNumberFormat="1" applyFont="1" applyFill="1" applyAlignment="1">
      <alignment horizontal="right" wrapText="1" shrinkToFit="1"/>
    </xf>
    <xf numFmtId="0" fontId="58" fillId="2" borderId="0" xfId="9" applyFont="1" applyFill="1" applyBorder="1" applyAlignment="1">
      <alignment horizontal="right" wrapText="1" shrinkToFit="1"/>
    </xf>
    <xf numFmtId="166" fontId="67" fillId="3" borderId="0" xfId="9" applyNumberFormat="1" applyFont="1" applyFill="1" applyAlignment="1">
      <alignment horizontal="right" wrapText="1" shrinkToFit="1"/>
    </xf>
    <xf numFmtId="166" fontId="84" fillId="2" borderId="0" xfId="1" applyNumberFormat="1" applyFont="1" applyFill="1" applyBorder="1" applyAlignment="1">
      <alignment horizontal="right" wrapText="1" shrinkToFit="1"/>
    </xf>
    <xf numFmtId="0" fontId="57" fillId="2" borderId="0" xfId="9" applyFont="1" applyFill="1" applyBorder="1" applyAlignment="1">
      <alignment horizontal="right" wrapText="1" shrinkToFit="1"/>
    </xf>
    <xf numFmtId="17" fontId="51" fillId="2" borderId="0" xfId="0" applyNumberFormat="1" applyFont="1" applyFill="1" applyBorder="1" applyAlignment="1">
      <alignment horizontal="right" wrapText="1" shrinkToFit="1"/>
    </xf>
    <xf numFmtId="0" fontId="57" fillId="2" borderId="0" xfId="0" quotePrefix="1" applyNumberFormat="1" applyFont="1" applyFill="1" applyBorder="1" applyAlignment="1">
      <alignment horizontal="right" wrapText="1" shrinkToFit="1"/>
    </xf>
    <xf numFmtId="0" fontId="67" fillId="2" borderId="0" xfId="0" applyFont="1" applyFill="1" applyBorder="1" applyAlignment="1">
      <alignment horizontal="right" wrapText="1" shrinkToFit="1"/>
    </xf>
    <xf numFmtId="0" fontId="85" fillId="2" borderId="0" xfId="0" applyFont="1" applyFill="1" applyBorder="1" applyAlignment="1">
      <alignment horizontal="right" wrapText="1" shrinkToFit="1"/>
    </xf>
    <xf numFmtId="168" fontId="52" fillId="3" borderId="0" xfId="2" applyNumberFormat="1" applyFont="1" applyFill="1" applyBorder="1" applyAlignment="1">
      <alignment horizontal="right" wrapText="1" shrinkToFit="1"/>
    </xf>
    <xf numFmtId="168" fontId="67" fillId="2" borderId="0" xfId="2" applyNumberFormat="1" applyFont="1" applyFill="1" applyBorder="1" applyAlignment="1">
      <alignment horizontal="right" wrapText="1" shrinkToFit="1"/>
    </xf>
    <xf numFmtId="168" fontId="67" fillId="2" borderId="0" xfId="0" applyNumberFormat="1" applyFont="1" applyFill="1" applyBorder="1" applyAlignment="1">
      <alignment horizontal="right" wrapText="1" shrinkToFit="1"/>
    </xf>
    <xf numFmtId="0" fontId="67" fillId="3" borderId="0" xfId="9" applyFont="1" applyFill="1" applyBorder="1" applyAlignment="1">
      <alignment horizontal="right" wrapText="1" shrinkToFit="1"/>
    </xf>
    <xf numFmtId="0" fontId="52" fillId="3" borderId="0" xfId="9" applyFont="1" applyFill="1" applyBorder="1" applyAlignment="1">
      <alignment horizontal="right" wrapText="1" shrinkToFit="1"/>
    </xf>
    <xf numFmtId="0" fontId="51" fillId="2" borderId="0" xfId="9" applyFont="1" applyFill="1" applyBorder="1" applyAlignment="1">
      <alignment horizontal="right" wrapText="1" shrinkToFit="1"/>
    </xf>
    <xf numFmtId="0" fontId="82" fillId="2" borderId="0" xfId="9" applyFont="1" applyFill="1" applyBorder="1" applyAlignment="1">
      <alignment horizontal="right" wrapText="1" shrinkToFit="1"/>
    </xf>
    <xf numFmtId="166" fontId="52" fillId="2" borderId="0" xfId="9" applyNumberFormat="1" applyFont="1" applyFill="1" applyAlignment="1">
      <alignment horizontal="right" wrapText="1" shrinkToFit="1"/>
    </xf>
    <xf numFmtId="0" fontId="57" fillId="40" borderId="0" xfId="0" applyFont="1" applyFill="1" applyBorder="1" applyAlignment="1">
      <alignment vertical="center"/>
    </xf>
    <xf numFmtId="0" fontId="55" fillId="2" borderId="0" xfId="9" applyFont="1" applyFill="1" applyBorder="1" applyAlignment="1">
      <alignment horizontal="right" wrapText="1" shrinkToFit="1"/>
    </xf>
    <xf numFmtId="0" fontId="58" fillId="0" borderId="0" xfId="0" applyFont="1" applyFill="1" applyBorder="1" applyAlignment="1">
      <alignment horizontal="right" wrapText="1" shrinkToFit="1"/>
    </xf>
    <xf numFmtId="0" fontId="56" fillId="2" borderId="0" xfId="9" applyFont="1" applyFill="1" applyBorder="1" applyAlignment="1">
      <alignment horizontal="right" wrapText="1" shrinkToFit="1"/>
    </xf>
    <xf numFmtId="0" fontId="82" fillId="2" borderId="0" xfId="0" applyFont="1" applyFill="1" applyBorder="1" applyAlignment="1">
      <alignment horizontal="right" wrapText="1" shrinkToFit="1"/>
    </xf>
    <xf numFmtId="0" fontId="64" fillId="2" borderId="0" xfId="0" applyFont="1" applyFill="1" applyBorder="1" applyAlignment="1">
      <alignment horizontal="right" wrapText="1" shrinkToFit="1"/>
    </xf>
    <xf numFmtId="180" fontId="64" fillId="2" borderId="0" xfId="9" applyNumberFormat="1" applyFont="1" applyFill="1" applyBorder="1" applyAlignment="1">
      <alignment horizontal="right" vertical="center" shrinkToFit="1"/>
    </xf>
    <xf numFmtId="170" fontId="52" fillId="2" borderId="0" xfId="2" applyNumberFormat="1" applyFont="1" applyFill="1" applyBorder="1" applyAlignment="1">
      <alignment horizontal="right" wrapText="1" shrinkToFit="1"/>
    </xf>
    <xf numFmtId="166" fontId="57" fillId="2" borderId="0" xfId="1" applyNumberFormat="1" applyFont="1" applyFill="1" applyBorder="1" applyAlignment="1">
      <alignment horizontal="right"/>
    </xf>
    <xf numFmtId="0" fontId="52" fillId="2" borderId="16" xfId="9" applyFont="1" applyFill="1" applyBorder="1" applyAlignment="1">
      <alignment horizontal="right" wrapText="1" shrinkToFit="1"/>
    </xf>
    <xf numFmtId="167" fontId="58" fillId="0" borderId="16" xfId="1" applyNumberFormat="1" applyFont="1" applyFill="1" applyBorder="1" applyAlignment="1">
      <alignment horizontal="right" wrapText="1" shrinkToFit="1"/>
    </xf>
    <xf numFmtId="0" fontId="52" fillId="2" borderId="16" xfId="9" applyFont="1" applyFill="1" applyBorder="1" applyAlignment="1">
      <alignment wrapText="1"/>
    </xf>
    <xf numFmtId="166" fontId="58" fillId="2" borderId="0" xfId="9" applyNumberFormat="1" applyFont="1" applyFill="1" applyBorder="1" applyAlignment="1">
      <alignment horizontal="right" wrapText="1" shrinkToFit="1"/>
    </xf>
    <xf numFmtId="166" fontId="67" fillId="2" borderId="0" xfId="9" applyNumberFormat="1" applyFont="1" applyFill="1" applyBorder="1" applyAlignment="1">
      <alignment horizontal="right" wrapText="1" shrinkToFit="1"/>
    </xf>
    <xf numFmtId="0" fontId="83" fillId="2" borderId="0" xfId="9" applyFont="1" applyFill="1" applyBorder="1"/>
    <xf numFmtId="0" fontId="52" fillId="2" borderId="16" xfId="0" applyFont="1" applyFill="1" applyBorder="1" applyAlignment="1">
      <alignment wrapText="1"/>
    </xf>
    <xf numFmtId="0" fontId="52" fillId="3" borderId="16" xfId="0" applyFont="1" applyFill="1" applyBorder="1" applyAlignment="1">
      <alignment horizontal="right" wrapText="1" shrinkToFit="1"/>
    </xf>
    <xf numFmtId="0" fontId="82" fillId="0" borderId="15" xfId="0" applyFont="1" applyFill="1" applyBorder="1" applyAlignment="1">
      <alignment horizontal="right" wrapText="1" shrinkToFit="1"/>
    </xf>
    <xf numFmtId="0" fontId="52" fillId="2" borderId="15" xfId="0" applyFont="1" applyFill="1" applyBorder="1" applyAlignment="1">
      <alignment wrapText="1"/>
    </xf>
    <xf numFmtId="0" fontId="52" fillId="2" borderId="15" xfId="0" applyFont="1" applyFill="1" applyBorder="1" applyAlignment="1">
      <alignment horizontal="right" wrapText="1" shrinkToFit="1"/>
    </xf>
    <xf numFmtId="0" fontId="57" fillId="40" borderId="0" xfId="9" applyFont="1" applyFill="1" applyBorder="1" applyAlignment="1">
      <alignment vertical="center"/>
    </xf>
    <xf numFmtId="0" fontId="64" fillId="2" borderId="0" xfId="1" applyNumberFormat="1" applyFont="1" applyFill="1" applyBorder="1" applyAlignment="1">
      <alignment horizontal="right" wrapText="1" shrinkToFit="1"/>
    </xf>
    <xf numFmtId="0" fontId="58" fillId="41" borderId="0" xfId="9" applyFont="1" applyFill="1" applyAlignment="1">
      <alignment wrapText="1"/>
    </xf>
    <xf numFmtId="0" fontId="52" fillId="41" borderId="0" xfId="9" applyFont="1" applyFill="1" applyAlignment="1">
      <alignment horizontal="right" wrapText="1" shrinkToFit="1"/>
    </xf>
    <xf numFmtId="167" fontId="58" fillId="41" borderId="0" xfId="1" applyNumberFormat="1" applyFont="1" applyFill="1" applyAlignment="1">
      <alignment horizontal="right" wrapText="1" shrinkToFit="1"/>
    </xf>
    <xf numFmtId="0" fontId="58" fillId="41" borderId="16" xfId="9" applyFont="1" applyFill="1" applyBorder="1" applyAlignment="1">
      <alignment wrapText="1"/>
    </xf>
    <xf numFmtId="0" fontId="52" fillId="41" borderId="16" xfId="9" applyFont="1" applyFill="1" applyBorder="1" applyAlignment="1">
      <alignment horizontal="right" wrapText="1" shrinkToFit="1"/>
    </xf>
    <xf numFmtId="167" fontId="58" fillId="41" borderId="16" xfId="1" applyNumberFormat="1" applyFont="1" applyFill="1" applyBorder="1" applyAlignment="1">
      <alignment horizontal="right" wrapText="1" shrinkToFit="1"/>
    </xf>
    <xf numFmtId="0" fontId="58" fillId="41" borderId="0" xfId="0" applyFont="1" applyFill="1" applyAlignment="1">
      <alignment wrapText="1"/>
    </xf>
    <xf numFmtId="0" fontId="58" fillId="41" borderId="18" xfId="9" applyFont="1" applyFill="1" applyBorder="1" applyAlignment="1">
      <alignment wrapText="1"/>
    </xf>
    <xf numFmtId="0" fontId="58" fillId="2" borderId="15" xfId="9" applyFont="1" applyFill="1" applyBorder="1" applyAlignment="1">
      <alignment horizontal="right" wrapText="1" shrinkToFit="1"/>
    </xf>
    <xf numFmtId="0" fontId="52" fillId="41" borderId="18" xfId="9" applyFont="1" applyFill="1" applyBorder="1" applyAlignment="1">
      <alignment horizontal="right" wrapText="1" shrinkToFit="1"/>
    </xf>
    <xf numFmtId="0" fontId="57" fillId="3" borderId="0" xfId="3" applyFont="1" applyFill="1" applyBorder="1" applyAlignment="1">
      <alignment horizontal="center" vertical="center" wrapText="1" shrinkToFit="1"/>
    </xf>
    <xf numFmtId="0" fontId="64" fillId="3" borderId="0" xfId="0" applyFont="1" applyFill="1" applyBorder="1" applyAlignment="1">
      <alignment horizontal="right"/>
    </xf>
    <xf numFmtId="167" fontId="67" fillId="3" borderId="0" xfId="1" applyNumberFormat="1" applyFont="1" applyFill="1" applyBorder="1" applyAlignment="1">
      <alignment horizontal="right" wrapText="1" shrinkToFit="1"/>
    </xf>
    <xf numFmtId="168" fontId="50" fillId="3" borderId="0" xfId="2" applyNumberFormat="1" applyFont="1" applyFill="1" applyBorder="1" applyAlignment="1">
      <alignment horizontal="right" wrapText="1" shrinkToFit="1"/>
    </xf>
    <xf numFmtId="9" fontId="52" fillId="3" borderId="0" xfId="2" applyFont="1" applyFill="1" applyBorder="1" applyAlignment="1"/>
    <xf numFmtId="0" fontId="69" fillId="3" borderId="0" xfId="3" applyFont="1" applyFill="1" applyBorder="1" applyAlignment="1">
      <alignment vertical="top" wrapText="1"/>
    </xf>
    <xf numFmtId="0" fontId="52" fillId="3" borderId="0" xfId="0" applyFont="1" applyFill="1" applyBorder="1" applyAlignment="1">
      <alignment horizontal="center"/>
    </xf>
    <xf numFmtId="43" fontId="67" fillId="3" borderId="0" xfId="0" applyNumberFormat="1" applyFont="1" applyFill="1" applyBorder="1" applyAlignment="1">
      <alignment horizontal="right" wrapText="1" shrinkToFit="1"/>
    </xf>
    <xf numFmtId="166" fontId="50" fillId="0" borderId="0" xfId="1" applyNumberFormat="1" applyFont="1" applyFill="1" applyAlignment="1">
      <alignment horizontal="right" wrapText="1" shrinkToFit="1"/>
    </xf>
    <xf numFmtId="166" fontId="50" fillId="41" borderId="0" xfId="1" applyNumberFormat="1" applyFont="1" applyFill="1" applyAlignment="1">
      <alignment horizontal="right" wrapText="1" shrinkToFit="1"/>
    </xf>
    <xf numFmtId="166" fontId="50" fillId="41" borderId="16" xfId="1" applyNumberFormat="1" applyFont="1" applyFill="1" applyBorder="1" applyAlignment="1">
      <alignment horizontal="right" wrapText="1" shrinkToFit="1"/>
    </xf>
    <xf numFmtId="166" fontId="51" fillId="3" borderId="16" xfId="1" applyNumberFormat="1" applyFont="1" applyFill="1" applyBorder="1" applyAlignment="1">
      <alignment horizontal="right" wrapText="1" shrinkToFit="1"/>
    </xf>
    <xf numFmtId="168" fontId="52" fillId="3" borderId="15" xfId="2" applyNumberFormat="1" applyFont="1" applyFill="1" applyBorder="1" applyAlignment="1">
      <alignment vertical="center" wrapText="1" shrinkToFit="1"/>
    </xf>
    <xf numFmtId="168" fontId="52" fillId="3" borderId="0" xfId="2" applyNumberFormat="1" applyFont="1" applyFill="1" applyBorder="1" applyAlignment="1">
      <alignment horizontal="right" vertical="center" wrapText="1" shrinkToFit="1"/>
    </xf>
    <xf numFmtId="168" fontId="52" fillId="3" borderId="15" xfId="2" applyNumberFormat="1" applyFont="1" applyFill="1" applyBorder="1" applyAlignment="1">
      <alignment horizontal="right" vertical="center" wrapText="1" shrinkToFit="1"/>
    </xf>
    <xf numFmtId="0" fontId="52" fillId="41" borderId="0" xfId="0" applyFont="1" applyFill="1" applyBorder="1" applyAlignment="1">
      <alignment horizontal="left" vertical="center" indent="1"/>
    </xf>
    <xf numFmtId="168" fontId="52" fillId="41" borderId="0" xfId="2" applyNumberFormat="1" applyFont="1" applyFill="1" applyBorder="1" applyAlignment="1">
      <alignment horizontal="right" wrapText="1" shrinkToFit="1"/>
    </xf>
    <xf numFmtId="0" fontId="52" fillId="2" borderId="0" xfId="0" applyFont="1" applyFill="1" applyBorder="1" applyAlignment="1">
      <alignment horizontal="left" vertical="center" indent="1"/>
    </xf>
    <xf numFmtId="0" fontId="52" fillId="41" borderId="16" xfId="0" applyFont="1" applyFill="1" applyBorder="1" applyAlignment="1">
      <alignment horizontal="left" vertical="center" indent="1"/>
    </xf>
    <xf numFmtId="0" fontId="52" fillId="2" borderId="16" xfId="0" applyFont="1" applyFill="1" applyBorder="1" applyAlignment="1">
      <alignment vertical="center" wrapText="1"/>
    </xf>
    <xf numFmtId="168" fontId="52" fillId="41" borderId="1" xfId="2" applyNumberFormat="1" applyFont="1" applyFill="1" applyBorder="1" applyAlignment="1">
      <alignment horizontal="right" wrapText="1" shrinkToFit="1"/>
    </xf>
    <xf numFmtId="0" fontId="58" fillId="0" borderId="15" xfId="9" applyFont="1" applyFill="1" applyBorder="1" applyAlignment="1">
      <alignment vertical="center" wrapText="1"/>
    </xf>
    <xf numFmtId="0" fontId="58" fillId="0" borderId="15" xfId="9" applyFont="1" applyFill="1" applyBorder="1" applyAlignment="1">
      <alignment horizontal="right" vertical="center" wrapText="1" shrinkToFit="1"/>
    </xf>
    <xf numFmtId="0" fontId="52" fillId="2" borderId="15" xfId="9" applyFont="1" applyFill="1" applyBorder="1" applyAlignment="1">
      <alignment horizontal="right" vertical="center" wrapText="1" shrinkToFit="1"/>
    </xf>
    <xf numFmtId="166" fontId="51" fillId="0" borderId="0" xfId="0" applyNumberFormat="1" applyFont="1" applyFill="1" applyAlignment="1">
      <alignment horizontal="right" wrapText="1" shrinkToFit="1"/>
    </xf>
    <xf numFmtId="166" fontId="50" fillId="0" borderId="0" xfId="0" applyNumberFormat="1" applyFont="1" applyFill="1" applyBorder="1" applyAlignment="1">
      <alignment horizontal="right" wrapText="1" shrinkToFit="1"/>
    </xf>
    <xf numFmtId="166" fontId="51" fillId="3" borderId="0" xfId="1" applyNumberFormat="1" applyFont="1" applyFill="1" applyBorder="1" applyAlignment="1">
      <alignment horizontal="right" wrapText="1" shrinkToFit="1"/>
    </xf>
    <xf numFmtId="166" fontId="51" fillId="41" borderId="16" xfId="1" applyNumberFormat="1" applyFont="1" applyFill="1" applyBorder="1" applyAlignment="1">
      <alignment horizontal="right" wrapText="1" shrinkToFit="1"/>
    </xf>
    <xf numFmtId="167" fontId="52" fillId="0" borderId="0" xfId="1" applyNumberFormat="1" applyFont="1" applyFill="1" applyAlignment="1">
      <alignment horizontal="right" wrapText="1" shrinkToFit="1"/>
    </xf>
    <xf numFmtId="166" fontId="51" fillId="41" borderId="16" xfId="1" applyNumberFormat="1" applyFont="1" applyFill="1" applyBorder="1" applyAlignment="1">
      <alignment horizontal="right" vertical="center" wrapText="1" shrinkToFit="1"/>
    </xf>
    <xf numFmtId="166" fontId="51" fillId="2" borderId="17" xfId="1" applyNumberFormat="1" applyFont="1" applyFill="1" applyBorder="1" applyAlignment="1">
      <alignment horizontal="right" vertical="center" wrapText="1" shrinkToFit="1"/>
    </xf>
    <xf numFmtId="166" fontId="51" fillId="41" borderId="0" xfId="1" applyNumberFormat="1" applyFont="1" applyFill="1" applyBorder="1" applyAlignment="1">
      <alignment horizontal="right" vertical="center" wrapText="1" shrinkToFit="1"/>
    </xf>
    <xf numFmtId="166" fontId="51" fillId="41" borderId="17" xfId="1" applyNumberFormat="1" applyFont="1" applyFill="1" applyBorder="1" applyAlignment="1">
      <alignment horizontal="right" vertical="center" wrapText="1" shrinkToFit="1"/>
    </xf>
    <xf numFmtId="166" fontId="51" fillId="2" borderId="16" xfId="1" applyNumberFormat="1" applyFont="1" applyFill="1" applyBorder="1" applyAlignment="1">
      <alignment horizontal="right" vertical="center" wrapText="1" shrinkToFit="1"/>
    </xf>
    <xf numFmtId="166" fontId="51" fillId="2" borderId="0" xfId="1" applyNumberFormat="1" applyFont="1" applyFill="1" applyBorder="1" applyAlignment="1">
      <alignment horizontal="right" wrapText="1" shrinkToFit="1"/>
    </xf>
    <xf numFmtId="166" fontId="51" fillId="41" borderId="15" xfId="1" applyNumberFormat="1" applyFont="1" applyFill="1" applyBorder="1" applyAlignment="1">
      <alignment horizontal="right" vertical="center" wrapText="1" shrinkToFit="1"/>
    </xf>
    <xf numFmtId="166" fontId="51" fillId="3" borderId="15" xfId="1" applyNumberFormat="1" applyFont="1" applyFill="1" applyBorder="1" applyAlignment="1">
      <alignment horizontal="right" vertical="center" wrapText="1" shrinkToFit="1"/>
    </xf>
    <xf numFmtId="166" fontId="51" fillId="2" borderId="15" xfId="1" applyNumberFormat="1" applyFont="1" applyFill="1" applyBorder="1" applyAlignment="1">
      <alignment horizontal="right" vertical="center" wrapText="1" shrinkToFit="1"/>
    </xf>
    <xf numFmtId="165" fontId="50" fillId="0" borderId="0" xfId="1" applyFont="1" applyFill="1" applyAlignment="1">
      <alignment horizontal="right" vertical="center" wrapText="1" shrinkToFit="1"/>
    </xf>
    <xf numFmtId="165" fontId="50" fillId="41" borderId="0" xfId="1" applyNumberFormat="1" applyFont="1" applyFill="1" applyAlignment="1">
      <alignment horizontal="right" vertical="center" wrapText="1" shrinkToFit="1"/>
    </xf>
    <xf numFmtId="10" fontId="50" fillId="41" borderId="15" xfId="2" applyNumberFormat="1" applyFont="1" applyFill="1" applyBorder="1" applyAlignment="1">
      <alignment horizontal="right" vertical="center" wrapText="1" shrinkToFit="1"/>
    </xf>
    <xf numFmtId="166" fontId="51" fillId="3" borderId="17" xfId="1" applyNumberFormat="1" applyFont="1" applyFill="1" applyBorder="1" applyAlignment="1">
      <alignment horizontal="right" vertical="center" wrapText="1" shrinkToFit="1"/>
    </xf>
    <xf numFmtId="166" fontId="51" fillId="41" borderId="0" xfId="1" applyNumberFormat="1" applyFont="1" applyFill="1" applyBorder="1" applyAlignment="1">
      <alignment horizontal="right" wrapText="1" shrinkToFit="1"/>
    </xf>
    <xf numFmtId="167" fontId="51" fillId="41" borderId="15" xfId="1" applyNumberFormat="1" applyFont="1" applyFill="1" applyBorder="1" applyAlignment="1">
      <alignment horizontal="right" vertical="center" wrapText="1" shrinkToFit="1"/>
    </xf>
    <xf numFmtId="166" fontId="51" fillId="0" borderId="16" xfId="1" applyNumberFormat="1" applyFont="1" applyFill="1" applyBorder="1" applyAlignment="1">
      <alignment horizontal="right" vertical="center" wrapText="1" shrinkToFit="1"/>
    </xf>
    <xf numFmtId="37" fontId="51" fillId="3" borderId="0" xfId="0" applyNumberFormat="1" applyFont="1" applyFill="1" applyAlignment="1">
      <alignment horizontal="right" vertical="center" wrapText="1" shrinkToFit="1"/>
    </xf>
    <xf numFmtId="0" fontId="51" fillId="3" borderId="0" xfId="0" applyFont="1" applyFill="1" applyBorder="1" applyAlignment="1">
      <alignment horizontal="right" vertical="center" wrapText="1" shrinkToFit="1"/>
    </xf>
    <xf numFmtId="166" fontId="51" fillId="2" borderId="17" xfId="1" applyNumberFormat="1" applyFont="1" applyFill="1" applyBorder="1" applyAlignment="1">
      <alignment horizontal="right" wrapText="1" shrinkToFit="1"/>
    </xf>
    <xf numFmtId="166" fontId="51" fillId="3" borderId="17" xfId="1" applyNumberFormat="1" applyFont="1" applyFill="1" applyBorder="1" applyAlignment="1">
      <alignment horizontal="right" wrapText="1" shrinkToFit="1"/>
    </xf>
    <xf numFmtId="166" fontId="51" fillId="0" borderId="16" xfId="1" applyNumberFormat="1" applyFont="1" applyFill="1" applyBorder="1" applyAlignment="1">
      <alignment horizontal="right" wrapText="1" shrinkToFit="1"/>
    </xf>
    <xf numFmtId="37" fontId="51" fillId="2" borderId="0" xfId="0" applyNumberFormat="1" applyFont="1" applyFill="1" applyAlignment="1">
      <alignment horizontal="right" wrapText="1" shrinkToFit="1"/>
    </xf>
    <xf numFmtId="0" fontId="51" fillId="3" borderId="0" xfId="0" applyFont="1" applyFill="1" applyBorder="1" applyAlignment="1">
      <alignment horizontal="right" wrapText="1" shrinkToFit="1"/>
    </xf>
    <xf numFmtId="0" fontId="51" fillId="3" borderId="0" xfId="0" applyFont="1" applyFill="1" applyAlignment="1">
      <alignment horizontal="right" vertical="center" wrapText="1" shrinkToFit="1"/>
    </xf>
    <xf numFmtId="165" fontId="51" fillId="3" borderId="0" xfId="1" applyNumberFormat="1" applyFont="1" applyFill="1" applyBorder="1" applyAlignment="1">
      <alignment horizontal="right" vertical="center" wrapText="1" shrinkToFit="1"/>
    </xf>
    <xf numFmtId="0" fontId="62" fillId="0" borderId="14" xfId="9" applyFont="1" applyFill="1" applyBorder="1" applyAlignment="1">
      <alignment horizontal="center" vertical="center" wrapText="1" shrinkToFit="1"/>
    </xf>
    <xf numFmtId="0" fontId="51" fillId="0" borderId="15" xfId="0" applyFont="1" applyFill="1" applyBorder="1" applyAlignment="1">
      <alignment vertical="center" wrapText="1"/>
    </xf>
    <xf numFmtId="0" fontId="86" fillId="0" borderId="14" xfId="0" applyFont="1" applyBorder="1" applyAlignment="1">
      <alignment vertical="center" wrapText="1"/>
    </xf>
    <xf numFmtId="0" fontId="57" fillId="3" borderId="0" xfId="0" applyFont="1" applyFill="1" applyBorder="1" applyAlignment="1">
      <alignment vertical="center" wrapText="1"/>
    </xf>
    <xf numFmtId="0" fontId="51" fillId="3" borderId="0" xfId="3" applyFont="1" applyFill="1" applyBorder="1" applyAlignment="1">
      <alignment horizontal="right" vertical="center" wrapText="1" shrinkToFit="1"/>
    </xf>
    <xf numFmtId="0" fontId="51" fillId="0" borderId="0" xfId="0" applyFont="1" applyFill="1" applyBorder="1" applyAlignment="1">
      <alignment vertical="center" wrapText="1"/>
    </xf>
    <xf numFmtId="0" fontId="82" fillId="0" borderId="0" xfId="0" applyFont="1" applyFill="1" applyBorder="1" applyAlignment="1">
      <alignment horizontal="right" wrapText="1" shrinkToFit="1"/>
    </xf>
    <xf numFmtId="0" fontId="58" fillId="3" borderId="0" xfId="0" applyFont="1" applyFill="1" applyBorder="1" applyAlignment="1">
      <alignment vertical="center" wrapText="1"/>
    </xf>
    <xf numFmtId="10" fontId="50" fillId="3" borderId="0" xfId="2" applyNumberFormat="1" applyFont="1" applyFill="1" applyBorder="1" applyAlignment="1">
      <alignment horizontal="right" vertical="center" wrapText="1" shrinkToFit="1"/>
    </xf>
    <xf numFmtId="165" fontId="58" fillId="3" borderId="0" xfId="1" applyNumberFormat="1" applyFont="1" applyFill="1" applyBorder="1" applyAlignment="1">
      <alignment horizontal="right" vertical="center" wrapText="1" shrinkToFit="1"/>
    </xf>
    <xf numFmtId="0" fontId="61" fillId="3" borderId="0" xfId="0" applyFont="1" applyFill="1" applyBorder="1" applyAlignment="1">
      <alignment vertical="center" wrapText="1" shrinkToFit="1"/>
    </xf>
    <xf numFmtId="166" fontId="51" fillId="41" borderId="18" xfId="1" applyNumberFormat="1" applyFont="1" applyFill="1" applyBorder="1" applyAlignment="1">
      <alignment horizontal="right" vertical="center" wrapText="1" shrinkToFit="1"/>
    </xf>
    <xf numFmtId="167" fontId="58" fillId="41" borderId="18" xfId="1" applyNumberFormat="1" applyFont="1" applyFill="1" applyBorder="1" applyAlignment="1">
      <alignment horizontal="right" vertical="center" wrapText="1" shrinkToFit="1"/>
    </xf>
    <xf numFmtId="166" fontId="50" fillId="0" borderId="0" xfId="1" applyNumberFormat="1" applyFont="1" applyFill="1" applyAlignment="1">
      <alignment horizontal="right" vertical="center" wrapText="1" shrinkToFit="1"/>
    </xf>
    <xf numFmtId="166" fontId="50" fillId="41" borderId="0" xfId="1" applyNumberFormat="1" applyFont="1" applyFill="1" applyAlignment="1">
      <alignment horizontal="right" vertical="center" wrapText="1" shrinkToFit="1"/>
    </xf>
    <xf numFmtId="166" fontId="50" fillId="3" borderId="0" xfId="1" applyNumberFormat="1" applyFont="1" applyFill="1" applyAlignment="1">
      <alignment horizontal="right" vertical="center" wrapText="1" shrinkToFit="1"/>
    </xf>
    <xf numFmtId="166" fontId="50" fillId="41" borderId="16" xfId="1" applyNumberFormat="1" applyFont="1" applyFill="1" applyBorder="1" applyAlignment="1">
      <alignment horizontal="right" vertical="center" wrapText="1" shrinkToFit="1"/>
    </xf>
    <xf numFmtId="166" fontId="50" fillId="3" borderId="0" xfId="1" applyNumberFormat="1" applyFont="1" applyFill="1" applyBorder="1" applyAlignment="1">
      <alignment horizontal="right" vertical="center" wrapText="1" shrinkToFit="1"/>
    </xf>
    <xf numFmtId="166" fontId="51" fillId="3" borderId="18" xfId="1" applyNumberFormat="1" applyFont="1" applyFill="1" applyBorder="1" applyAlignment="1">
      <alignment horizontal="right" vertical="center" wrapText="1" shrinkToFit="1"/>
    </xf>
    <xf numFmtId="0" fontId="88" fillId="2" borderId="0" xfId="0" applyFont="1" applyFill="1" applyBorder="1" applyAlignment="1">
      <alignment horizontal="right" wrapText="1" shrinkToFit="1"/>
    </xf>
    <xf numFmtId="167" fontId="52" fillId="3" borderId="18" xfId="1" applyNumberFormat="1" applyFont="1" applyFill="1" applyBorder="1" applyAlignment="1">
      <alignment horizontal="right" vertical="center" wrapText="1" shrinkToFit="1"/>
    </xf>
    <xf numFmtId="179" fontId="51" fillId="41" borderId="15" xfId="0" applyNumberFormat="1" applyFont="1" applyFill="1" applyBorder="1" applyAlignment="1">
      <alignment horizontal="right" vertical="center" wrapText="1" shrinkToFit="1"/>
    </xf>
    <xf numFmtId="179" fontId="67" fillId="41" borderId="15" xfId="0" applyNumberFormat="1" applyFont="1" applyFill="1" applyBorder="1" applyAlignment="1">
      <alignment horizontal="right" vertical="center" wrapText="1" shrinkToFit="1"/>
    </xf>
    <xf numFmtId="179" fontId="52" fillId="41" borderId="15" xfId="4" applyNumberFormat="1" applyFont="1" applyFill="1" applyBorder="1" applyAlignment="1">
      <alignment horizontal="right" vertical="center" wrapText="1" shrinkToFit="1"/>
    </xf>
    <xf numFmtId="9" fontId="17" fillId="2" borderId="0" xfId="2" applyFont="1" applyFill="1" applyBorder="1"/>
    <xf numFmtId="0" fontId="52" fillId="3" borderId="0" xfId="3" applyFont="1" applyFill="1" applyBorder="1" applyAlignment="1">
      <alignment vertical="center" wrapText="1"/>
    </xf>
    <xf numFmtId="167" fontId="51" fillId="3" borderId="15" xfId="1" applyNumberFormat="1" applyFont="1" applyFill="1" applyBorder="1" applyAlignment="1">
      <alignment horizontal="right" vertical="center" wrapText="1" shrinkToFit="1"/>
    </xf>
    <xf numFmtId="166" fontId="22" fillId="42" borderId="0" xfId="1" applyNumberFormat="1" applyFont="1" applyFill="1" applyBorder="1"/>
    <xf numFmtId="166" fontId="22" fillId="42" borderId="2" xfId="1" quotePrefix="1" applyNumberFormat="1" applyFont="1" applyFill="1" applyBorder="1" applyAlignment="1">
      <alignment horizontal="left"/>
    </xf>
    <xf numFmtId="0" fontId="58" fillId="2" borderId="0" xfId="0" applyFont="1" applyFill="1" applyAlignment="1">
      <alignment wrapText="1"/>
    </xf>
    <xf numFmtId="0" fontId="69" fillId="2" borderId="0" xfId="3" applyFont="1" applyFill="1" applyBorder="1" applyAlignment="1">
      <alignment wrapText="1"/>
    </xf>
    <xf numFmtId="0" fontId="52" fillId="2" borderId="0" xfId="0" applyFont="1" applyFill="1" applyAlignment="1"/>
    <xf numFmtId="0" fontId="70" fillId="2" borderId="0" xfId="0" applyFont="1" applyFill="1" applyBorder="1" applyAlignment="1">
      <alignment horizontal="left" wrapText="1"/>
    </xf>
    <xf numFmtId="0" fontId="51" fillId="2" borderId="0" xfId="0" applyFont="1" applyFill="1" applyAlignment="1">
      <alignment horizontal="center" vertical="center" wrapText="1"/>
    </xf>
    <xf numFmtId="0" fontId="58" fillId="2" borderId="16" xfId="0" applyFont="1" applyFill="1" applyBorder="1" applyAlignment="1">
      <alignment horizontal="left" wrapText="1"/>
    </xf>
    <xf numFmtId="170" fontId="76" fillId="41" borderId="0" xfId="0" applyNumberFormat="1" applyFont="1" applyFill="1" applyAlignment="1">
      <alignment horizontal="right" vertical="center" wrapText="1" shrinkToFit="1"/>
    </xf>
    <xf numFmtId="170" fontId="76" fillId="0" borderId="16" xfId="0" applyNumberFormat="1" applyFont="1" applyFill="1" applyBorder="1" applyAlignment="1">
      <alignment horizontal="right" vertical="center" wrapText="1" shrinkToFit="1"/>
    </xf>
    <xf numFmtId="0" fontId="76" fillId="3" borderId="15" xfId="0" applyFont="1" applyFill="1" applyBorder="1" applyAlignment="1">
      <alignment horizontal="right" vertical="center" wrapText="1" shrinkToFit="1"/>
    </xf>
    <xf numFmtId="167" fontId="76" fillId="3" borderId="15" xfId="1" applyNumberFormat="1" applyFont="1" applyFill="1" applyBorder="1" applyAlignment="1">
      <alignment horizontal="right" vertical="center" wrapText="1" shrinkToFit="1"/>
    </xf>
    <xf numFmtId="170" fontId="76" fillId="0" borderId="15" xfId="0" applyNumberFormat="1" applyFont="1" applyFill="1" applyBorder="1" applyAlignment="1">
      <alignment horizontal="right" vertical="center" wrapText="1" shrinkToFit="1"/>
    </xf>
    <xf numFmtId="173" fontId="51" fillId="3" borderId="0" xfId="4" applyNumberFormat="1" applyFont="1" applyFill="1" applyBorder="1" applyAlignment="1">
      <alignment horizontal="right" vertical="center" wrapText="1" shrinkToFit="1"/>
    </xf>
    <xf numFmtId="37" fontId="51" fillId="3" borderId="0" xfId="0" applyNumberFormat="1" applyFont="1" applyFill="1" applyAlignment="1">
      <alignment horizontal="right" wrapText="1" shrinkToFit="1"/>
    </xf>
    <xf numFmtId="0" fontId="51" fillId="3" borderId="0" xfId="0" applyFont="1" applyFill="1" applyAlignment="1">
      <alignment horizontal="right" wrapText="1" shrinkToFit="1"/>
    </xf>
    <xf numFmtId="167" fontId="51" fillId="3" borderId="0" xfId="1" applyNumberFormat="1" applyFont="1" applyFill="1" applyBorder="1" applyAlignment="1">
      <alignment horizontal="right" wrapText="1" shrinkToFit="1"/>
    </xf>
    <xf numFmtId="0" fontId="31" fillId="2" borderId="0" xfId="0" applyFont="1" applyFill="1"/>
    <xf numFmtId="0" fontId="31" fillId="2" borderId="0" xfId="0" applyFont="1" applyFill="1" applyBorder="1"/>
    <xf numFmtId="166" fontId="31" fillId="2" borderId="0" xfId="1" applyNumberFormat="1" applyFont="1" applyFill="1"/>
    <xf numFmtId="1" fontId="31" fillId="2" borderId="0" xfId="0" applyNumberFormat="1" applyFont="1" applyFill="1"/>
    <xf numFmtId="37" fontId="51" fillId="41" borderId="0" xfId="0" applyNumberFormat="1" applyFont="1" applyFill="1" applyAlignment="1">
      <alignment horizontal="right" vertical="center"/>
    </xf>
    <xf numFmtId="0" fontId="52" fillId="41" borderId="0" xfId="0" applyFont="1" applyFill="1" applyAlignment="1">
      <alignment horizontal="right" vertical="center"/>
    </xf>
    <xf numFmtId="0" fontId="52" fillId="41" borderId="0" xfId="0" applyFont="1" applyFill="1" applyBorder="1" applyAlignment="1">
      <alignment horizontal="right" vertical="center"/>
    </xf>
    <xf numFmtId="173" fontId="52" fillId="41" borderId="0" xfId="4" applyNumberFormat="1" applyFont="1" applyFill="1" applyBorder="1" applyAlignment="1">
      <alignment horizontal="right" vertical="center"/>
    </xf>
    <xf numFmtId="166" fontId="67" fillId="3" borderId="0" xfId="1" applyNumberFormat="1" applyFont="1" applyFill="1" applyBorder="1" applyAlignment="1">
      <alignment horizontal="right" vertical="center"/>
    </xf>
    <xf numFmtId="0" fontId="67" fillId="3" borderId="0" xfId="0" applyFont="1" applyFill="1" applyAlignment="1">
      <alignment horizontal="right" vertical="center"/>
    </xf>
    <xf numFmtId="170" fontId="67" fillId="3" borderId="0" xfId="0" applyNumberFormat="1" applyFont="1" applyFill="1" applyAlignment="1">
      <alignment horizontal="right" vertical="center"/>
    </xf>
    <xf numFmtId="173" fontId="52" fillId="41" borderId="0" xfId="4" applyNumberFormat="1" applyFont="1" applyFill="1" applyBorder="1" applyAlignment="1">
      <alignment horizontal="right" vertical="center" wrapText="1" shrinkToFit="1"/>
    </xf>
    <xf numFmtId="166" fontId="52" fillId="3" borderId="0" xfId="1" applyNumberFormat="1" applyFont="1" applyFill="1" applyBorder="1" applyAlignment="1">
      <alignment horizontal="right" vertical="center"/>
    </xf>
    <xf numFmtId="0" fontId="52" fillId="3" borderId="0" xfId="0" applyFont="1" applyFill="1" applyAlignment="1">
      <alignment horizontal="right" vertical="center"/>
    </xf>
    <xf numFmtId="173" fontId="52" fillId="3" borderId="0" xfId="4" applyNumberFormat="1" applyFont="1" applyFill="1" applyBorder="1" applyAlignment="1">
      <alignment horizontal="right" vertical="center"/>
    </xf>
    <xf numFmtId="0" fontId="52" fillId="3" borderId="0" xfId="3" applyFont="1" applyFill="1" applyBorder="1" applyAlignment="1">
      <alignment horizontal="right" vertical="center"/>
    </xf>
    <xf numFmtId="0" fontId="52" fillId="0" borderId="0" xfId="3" applyFont="1" applyFill="1" applyBorder="1" applyAlignment="1">
      <alignment horizontal="right" vertical="center" wrapText="1" shrinkToFit="1"/>
    </xf>
    <xf numFmtId="167" fontId="52" fillId="3" borderId="0" xfId="1" applyNumberFormat="1" applyFont="1" applyFill="1" applyBorder="1" applyAlignment="1">
      <alignment horizontal="right" vertical="center"/>
    </xf>
    <xf numFmtId="0" fontId="52" fillId="3" borderId="0" xfId="0" applyFont="1" applyFill="1" applyBorder="1" applyAlignment="1">
      <alignment horizontal="right" vertical="center"/>
    </xf>
    <xf numFmtId="0" fontId="52" fillId="3" borderId="0" xfId="3" applyFont="1" applyFill="1" applyAlignment="1">
      <alignment horizontal="right" vertical="center"/>
    </xf>
    <xf numFmtId="0" fontId="91" fillId="2" borderId="0" xfId="0" applyFont="1" applyFill="1"/>
    <xf numFmtId="0" fontId="91" fillId="2" borderId="0" xfId="0" applyFont="1" applyFill="1" applyBorder="1"/>
    <xf numFmtId="166" fontId="91" fillId="2" borderId="0" xfId="1" applyNumberFormat="1" applyFont="1" applyFill="1"/>
    <xf numFmtId="1" fontId="91" fillId="2" borderId="0" xfId="0" applyNumberFormat="1" applyFont="1" applyFill="1"/>
    <xf numFmtId="0" fontId="91" fillId="4" borderId="0" xfId="0" applyFont="1" applyFill="1"/>
    <xf numFmtId="0" fontId="91" fillId="4" borderId="0" xfId="0" applyFont="1" applyFill="1" applyBorder="1"/>
    <xf numFmtId="166" fontId="91" fillId="4" borderId="0" xfId="1" applyNumberFormat="1" applyFont="1" applyFill="1"/>
    <xf numFmtId="1" fontId="91" fillId="4" borderId="0" xfId="0" applyNumberFormat="1" applyFont="1" applyFill="1"/>
    <xf numFmtId="168" fontId="67" fillId="41" borderId="0" xfId="2" quotePrefix="1" applyNumberFormat="1" applyFont="1" applyFill="1" applyBorder="1" applyAlignment="1">
      <alignment horizontal="right" vertical="center" wrapText="1" shrinkToFit="1"/>
    </xf>
    <xf numFmtId="180" fontId="64" fillId="2" borderId="0" xfId="9" quotePrefix="1" applyNumberFormat="1" applyFont="1" applyFill="1" applyBorder="1" applyAlignment="1">
      <alignment horizontal="right" vertical="center" shrinkToFit="1"/>
    </xf>
    <xf numFmtId="10" fontId="4" fillId="2" borderId="0" xfId="2" applyNumberFormat="1" applyFont="1" applyFill="1"/>
    <xf numFmtId="0" fontId="68" fillId="2" borderId="0" xfId="0" applyFont="1" applyFill="1" applyAlignment="1">
      <alignment horizontal="left" vertical="center" wrapText="1"/>
    </xf>
    <xf numFmtId="0" fontId="69" fillId="2" borderId="0" xfId="0" applyFont="1" applyFill="1" applyAlignment="1">
      <alignment horizontal="left" vertical="center" wrapText="1"/>
    </xf>
    <xf numFmtId="0" fontId="70" fillId="2" borderId="0" xfId="0" applyFont="1" applyFill="1" applyBorder="1" applyAlignment="1">
      <alignment horizontal="left" vertical="center" wrapText="1"/>
    </xf>
    <xf numFmtId="0" fontId="69" fillId="3" borderId="0" xfId="0" applyFont="1" applyFill="1" applyAlignment="1">
      <alignment horizontal="left" vertical="center" wrapText="1"/>
    </xf>
    <xf numFmtId="0" fontId="57" fillId="40" borderId="0" xfId="0" applyFont="1" applyFill="1" applyBorder="1" applyAlignment="1">
      <alignment horizontal="center" vertical="center" wrapText="1" shrinkToFit="1"/>
    </xf>
    <xf numFmtId="0" fontId="69" fillId="2" borderId="0" xfId="3" applyFont="1" applyFill="1" applyBorder="1" applyAlignment="1">
      <alignment horizontal="left" vertical="center" wrapText="1"/>
    </xf>
    <xf numFmtId="0" fontId="61" fillId="39" borderId="0" xfId="0" applyFont="1" applyFill="1" applyBorder="1" applyAlignment="1">
      <alignment horizontal="center" vertical="center" wrapText="1" shrinkToFit="1"/>
    </xf>
    <xf numFmtId="0" fontId="57" fillId="39" borderId="0" xfId="0" applyFont="1" applyFill="1" applyBorder="1" applyAlignment="1">
      <alignment horizontal="center" vertical="center" wrapText="1" shrinkToFit="1"/>
    </xf>
    <xf numFmtId="0" fontId="86" fillId="0" borderId="14" xfId="0" applyFont="1" applyBorder="1" applyAlignment="1">
      <alignment horizontal="center" vertical="center" wrapText="1"/>
    </xf>
    <xf numFmtId="0" fontId="68" fillId="2" borderId="0" xfId="9" applyFont="1" applyFill="1" applyAlignment="1">
      <alignment horizontal="left" wrapText="1"/>
    </xf>
    <xf numFmtId="0" fontId="68" fillId="2" borderId="0" xfId="9" applyFont="1" applyFill="1" applyAlignment="1">
      <alignment horizontal="left"/>
    </xf>
    <xf numFmtId="17" fontId="64" fillId="2" borderId="16" xfId="0" applyNumberFormat="1" applyFont="1" applyFill="1" applyBorder="1" applyAlignment="1">
      <alignment horizontal="center" wrapText="1" shrinkToFi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7" fillId="2" borderId="0" xfId="9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 wrapText="1"/>
    </xf>
    <xf numFmtId="0" fontId="6" fillId="0" borderId="0" xfId="9" applyFont="1" applyFill="1" applyBorder="1" applyAlignment="1">
      <alignment horizontal="center"/>
    </xf>
    <xf numFmtId="0" fontId="68" fillId="2" borderId="0" xfId="0" applyFont="1" applyFill="1" applyBorder="1" applyAlignment="1">
      <alignment horizontal="left" vertical="center" wrapText="1"/>
    </xf>
    <xf numFmtId="0" fontId="52" fillId="2" borderId="0" xfId="0" applyFont="1" applyFill="1" applyBorder="1" applyAlignment="1">
      <alignment horizontal="left"/>
    </xf>
    <xf numFmtId="0" fontId="69" fillId="2" borderId="0" xfId="3" applyFont="1" applyFill="1" applyBorder="1" applyAlignment="1">
      <alignment horizontal="left" vertical="top" wrapText="1"/>
    </xf>
    <xf numFmtId="0" fontId="57" fillId="40" borderId="0" xfId="3" applyFont="1" applyFill="1" applyBorder="1" applyAlignment="1">
      <alignment horizontal="center" vertical="center" wrapText="1" shrinkToFit="1"/>
    </xf>
    <xf numFmtId="0" fontId="57" fillId="40" borderId="0" xfId="3" applyFont="1" applyFill="1" applyBorder="1" applyAlignment="1">
      <alignment horizontal="center" vertical="center" shrinkToFit="1"/>
    </xf>
    <xf numFmtId="0" fontId="50" fillId="3" borderId="0" xfId="1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89" fillId="2" borderId="0" xfId="0" applyFont="1" applyFill="1" applyBorder="1" applyAlignment="1">
      <alignment horizontal="left" vertical="center" wrapText="1"/>
    </xf>
    <xf numFmtId="0" fontId="70" fillId="2" borderId="0" xfId="0" applyFont="1" applyFill="1" applyBorder="1" applyAlignment="1">
      <alignment horizontal="left" vertical="center"/>
    </xf>
    <xf numFmtId="0" fontId="61" fillId="39" borderId="0" xfId="0" applyFont="1" applyFill="1" applyBorder="1" applyAlignment="1">
      <alignment horizontal="center" vertical="center"/>
    </xf>
    <xf numFmtId="0" fontId="57" fillId="39" borderId="0" xfId="0" applyFont="1" applyFill="1" applyBorder="1" applyAlignment="1">
      <alignment horizontal="center" vertical="center"/>
    </xf>
    <xf numFmtId="0" fontId="57" fillId="40" borderId="0" xfId="9" applyFont="1" applyFill="1" applyBorder="1" applyAlignment="1">
      <alignment horizontal="center" vertical="center"/>
    </xf>
    <xf numFmtId="0" fontId="62" fillId="0" borderId="14" xfId="9" applyFont="1" applyFill="1" applyBorder="1" applyAlignment="1">
      <alignment horizontal="center" vertical="center" wrapText="1" shrinkToFit="1"/>
    </xf>
    <xf numFmtId="16" fontId="62" fillId="0" borderId="14" xfId="9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3" quotePrefix="1" applyFont="1" applyFill="1" applyBorder="1" applyAlignment="1">
      <alignment horizontal="center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colors>
    <mruColors>
      <color rgb="FF393943"/>
      <color rgb="FF850026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9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6" name="Object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9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A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190500</xdr:rowOff>
    </xdr:from>
    <xdr:to>
      <xdr:col>14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200025</xdr:rowOff>
    </xdr:from>
    <xdr:to>
      <xdr:col>14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190500</xdr:rowOff>
    </xdr:from>
    <xdr:to>
      <xdr:col>14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190500</xdr:rowOff>
    </xdr:from>
    <xdr:to>
      <xdr:col>14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123825</xdr:rowOff>
    </xdr:from>
    <xdr:to>
      <xdr:col>14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190500</xdr:rowOff>
    </xdr:from>
    <xdr:to>
      <xdr:col>14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200025</xdr:rowOff>
    </xdr:from>
    <xdr:to>
      <xdr:col>14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190500</xdr:rowOff>
    </xdr:from>
    <xdr:to>
      <xdr:col>14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190500</xdr:rowOff>
    </xdr:from>
    <xdr:to>
      <xdr:col>14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0</xdr:row>
      <xdr:rowOff>123825</xdr:rowOff>
    </xdr:from>
    <xdr:to>
      <xdr:col>14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481" name="Imagen 46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C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20</xdr:row>
          <xdr:rowOff>0</xdr:rowOff>
        </xdr:from>
        <xdr:to>
          <xdr:col>2</xdr:col>
          <xdr:colOff>0</xdr:colOff>
          <xdr:row>20</xdr:row>
          <xdr:rowOff>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C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36</xdr:row>
          <xdr:rowOff>0</xdr:rowOff>
        </xdr:from>
        <xdr:to>
          <xdr:col>2</xdr:col>
          <xdr:colOff>0</xdr:colOff>
          <xdr:row>36</xdr:row>
          <xdr:rowOff>0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C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76</xdr:row>
          <xdr:rowOff>12700</xdr:rowOff>
        </xdr:from>
        <xdr:to>
          <xdr:col>3</xdr:col>
          <xdr:colOff>0</xdr:colOff>
          <xdr:row>77</xdr:row>
          <xdr:rowOff>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12700</xdr:rowOff>
        </xdr:from>
        <xdr:to>
          <xdr:col>5</xdr:col>
          <xdr:colOff>0</xdr:colOff>
          <xdr:row>57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11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12700</xdr:rowOff>
        </xdr:from>
        <xdr:to>
          <xdr:col>4</xdr:col>
          <xdr:colOff>0</xdr:colOff>
          <xdr:row>32</xdr:row>
          <xdr:rowOff>50800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5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0</xdr:rowOff>
        </xdr:from>
        <xdr:to>
          <xdr:col>4</xdr:col>
          <xdr:colOff>0</xdr:colOff>
          <xdr:row>31</xdr:row>
          <xdr:rowOff>50800</xdr:rowOff>
        </xdr:to>
        <xdr:sp macro="" textlink="">
          <xdr:nvSpPr>
            <xdr:cNvPr id="33794" name="Object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5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0</xdr:colOff>
          <xdr:row>35</xdr:row>
          <xdr:rowOff>50800</xdr:rowOff>
        </xdr:to>
        <xdr:sp macro="" textlink="">
          <xdr:nvSpPr>
            <xdr:cNvPr id="37897" name="Object 9" hidden="1">
              <a:extLst>
                <a:ext uri="{63B3BB69-23CF-44E3-9099-C40C66FF867C}">
                  <a14:compatExt spid="_x0000_s37897"/>
                </a:ext>
                <a:ext uri="{FF2B5EF4-FFF2-40B4-BE49-F238E27FC236}">
                  <a16:creationId xmlns:a16="http://schemas.microsoft.com/office/drawing/2014/main" id="{00000000-0008-0000-0700-000009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8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2" name="Object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8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16.bin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topLeftCell="A24" zoomScale="90" zoomScaleNormal="90" zoomScaleSheetLayoutView="130" workbookViewId="0">
      <selection sqref="A1:O50"/>
    </sheetView>
  </sheetViews>
  <sheetFormatPr defaultColWidth="9.81640625" defaultRowHeight="10.5"/>
  <cols>
    <col min="1" max="1" width="42.7265625" style="452" customWidth="1"/>
    <col min="2" max="2" width="1.7265625" style="398" customWidth="1"/>
    <col min="3" max="5" width="7.7265625" style="417" customWidth="1"/>
    <col min="6" max="7" width="7.7265625" style="398" customWidth="1"/>
    <col min="8" max="8" width="7.7265625" style="619" customWidth="1"/>
    <col min="9" max="9" width="4.7265625" style="417" customWidth="1"/>
    <col min="10" max="11" width="7.7265625" style="417" customWidth="1"/>
    <col min="12" max="12" width="7.7265625" style="426" customWidth="1"/>
    <col min="13" max="14" width="7.7265625" style="417" customWidth="1"/>
    <col min="15" max="15" width="7.7265625" style="398" customWidth="1"/>
    <col min="16" max="16384" width="9.81640625" style="343"/>
  </cols>
  <sheetData>
    <row r="1" spans="1:15" ht="11.15" customHeight="1">
      <c r="A1" s="911" t="s">
        <v>0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</row>
    <row r="2" spans="1:15" ht="11.15" customHeight="1">
      <c r="A2" s="912" t="s">
        <v>1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912"/>
      <c r="O2" s="912"/>
    </row>
    <row r="3" spans="1:15" ht="11.15" customHeight="1">
      <c r="A3" s="913" t="s">
        <v>67</v>
      </c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  <c r="N3" s="913"/>
      <c r="O3" s="913"/>
    </row>
    <row r="4" spans="1:15" ht="11.15" customHeight="1">
      <c r="A4" s="863"/>
      <c r="B4" s="577"/>
      <c r="C4" s="578"/>
      <c r="D4" s="578"/>
      <c r="E4" s="578"/>
      <c r="F4" s="577"/>
      <c r="G4" s="577"/>
      <c r="H4" s="579"/>
      <c r="I4" s="578"/>
      <c r="J4" s="577"/>
      <c r="K4" s="421"/>
      <c r="L4" s="580"/>
      <c r="M4" s="561"/>
      <c r="O4" s="577"/>
    </row>
    <row r="5" spans="1:15" s="346" customFormat="1" ht="15" customHeight="1">
      <c r="A5" s="449"/>
      <c r="B5" s="591"/>
      <c r="C5" s="909" t="s">
        <v>240</v>
      </c>
      <c r="D5" s="909"/>
      <c r="E5" s="909"/>
      <c r="F5" s="909"/>
      <c r="G5" s="909"/>
      <c r="H5" s="909"/>
      <c r="I5" s="418"/>
      <c r="J5" s="909" t="s">
        <v>119</v>
      </c>
      <c r="K5" s="909"/>
      <c r="L5" s="909"/>
      <c r="M5" s="909"/>
      <c r="N5" s="909"/>
      <c r="O5" s="909"/>
    </row>
    <row r="6" spans="1:15" s="531" customFormat="1" ht="15" customHeight="1">
      <c r="A6" s="530"/>
      <c r="B6" s="458"/>
      <c r="C6" s="457">
        <v>2017</v>
      </c>
      <c r="D6" s="457" t="s">
        <v>4</v>
      </c>
      <c r="E6" s="457">
        <v>2016</v>
      </c>
      <c r="F6" s="457" t="s">
        <v>4</v>
      </c>
      <c r="G6" s="457" t="s">
        <v>111</v>
      </c>
      <c r="H6" s="457" t="s">
        <v>176</v>
      </c>
      <c r="I6" s="457"/>
      <c r="J6" s="457">
        <v>2017</v>
      </c>
      <c r="K6" s="457" t="s">
        <v>4</v>
      </c>
      <c r="L6" s="457">
        <v>2016</v>
      </c>
      <c r="M6" s="457" t="s">
        <v>4</v>
      </c>
      <c r="N6" s="457" t="s">
        <v>111</v>
      </c>
      <c r="O6" s="622" t="s">
        <v>176</v>
      </c>
    </row>
    <row r="7" spans="1:15" ht="13" customHeight="1">
      <c r="A7" s="289" t="s">
        <v>177</v>
      </c>
      <c r="B7" s="592"/>
      <c r="C7" s="394">
        <v>122502</v>
      </c>
      <c r="D7" s="395">
        <v>100</v>
      </c>
      <c r="E7" s="394">
        <v>109907</v>
      </c>
      <c r="F7" s="395">
        <v>100</v>
      </c>
      <c r="G7" s="395">
        <v>11.459688645855138</v>
      </c>
      <c r="H7" s="539">
        <v>3.546761015819988</v>
      </c>
      <c r="I7" s="596"/>
      <c r="J7" s="394">
        <v>460456</v>
      </c>
      <c r="K7" s="395">
        <v>100</v>
      </c>
      <c r="L7" s="394">
        <v>399507</v>
      </c>
      <c r="M7" s="395">
        <v>100</v>
      </c>
      <c r="N7" s="395">
        <v>15.256053085427791</v>
      </c>
      <c r="O7" s="539">
        <v>6.2414455583819972</v>
      </c>
    </row>
    <row r="8" spans="1:15" ht="13" customHeight="1">
      <c r="A8" s="375" t="s">
        <v>6</v>
      </c>
      <c r="B8" s="592"/>
      <c r="C8" s="805">
        <v>74788</v>
      </c>
      <c r="D8" s="397">
        <v>61.1</v>
      </c>
      <c r="E8" s="805">
        <v>67908</v>
      </c>
      <c r="F8" s="397">
        <v>61.8</v>
      </c>
      <c r="G8" s="397">
        <v>10.131354185073915</v>
      </c>
      <c r="H8" s="397"/>
      <c r="I8" s="596"/>
      <c r="J8" s="805">
        <v>290188</v>
      </c>
      <c r="K8" s="397">
        <v>63</v>
      </c>
      <c r="L8" s="805">
        <v>251303</v>
      </c>
      <c r="M8" s="397">
        <v>62.9</v>
      </c>
      <c r="N8" s="397">
        <v>15.473352884764612</v>
      </c>
      <c r="O8" s="397"/>
    </row>
    <row r="9" spans="1:15" ht="13" customHeight="1">
      <c r="A9" s="376" t="s">
        <v>7</v>
      </c>
      <c r="B9" s="592"/>
      <c r="C9" s="806">
        <v>47714</v>
      </c>
      <c r="D9" s="399">
        <v>38.9</v>
      </c>
      <c r="E9" s="806">
        <v>41999</v>
      </c>
      <c r="F9" s="399">
        <v>38.200000000000003</v>
      </c>
      <c r="G9" s="399">
        <v>13.607466844448668</v>
      </c>
      <c r="H9" s="626"/>
      <c r="I9" s="596"/>
      <c r="J9" s="806">
        <v>170268</v>
      </c>
      <c r="K9" s="399">
        <v>37</v>
      </c>
      <c r="L9" s="806">
        <v>148204</v>
      </c>
      <c r="M9" s="399">
        <v>37.1</v>
      </c>
      <c r="N9" s="399">
        <v>14.88758737955791</v>
      </c>
      <c r="O9" s="626"/>
    </row>
    <row r="10" spans="1:15" ht="13" customHeight="1">
      <c r="A10" s="544" t="s">
        <v>34</v>
      </c>
      <c r="B10" s="593"/>
      <c r="C10" s="807">
        <v>4594</v>
      </c>
      <c r="D10" s="400">
        <v>3.8</v>
      </c>
      <c r="E10" s="807">
        <v>3849</v>
      </c>
      <c r="F10" s="400">
        <v>3.5</v>
      </c>
      <c r="G10" s="400">
        <v>19.355676799168609</v>
      </c>
      <c r="H10" s="400"/>
      <c r="I10" s="596"/>
      <c r="J10" s="807">
        <v>16512</v>
      </c>
      <c r="K10" s="400">
        <v>3.6</v>
      </c>
      <c r="L10" s="807">
        <v>14730</v>
      </c>
      <c r="M10" s="400">
        <v>3.7</v>
      </c>
      <c r="N10" s="400">
        <v>12.097759674134423</v>
      </c>
      <c r="O10" s="400"/>
    </row>
    <row r="11" spans="1:15" ht="13" customHeight="1">
      <c r="A11" s="620" t="s">
        <v>35</v>
      </c>
      <c r="B11" s="593"/>
      <c r="C11" s="394">
        <v>29407</v>
      </c>
      <c r="D11" s="395">
        <v>23.9</v>
      </c>
      <c r="E11" s="394">
        <v>25997</v>
      </c>
      <c r="F11" s="395">
        <v>23.700000000000003</v>
      </c>
      <c r="G11" s="395">
        <v>13.116898103627349</v>
      </c>
      <c r="H11" s="539"/>
      <c r="I11" s="596"/>
      <c r="J11" s="394">
        <v>111456</v>
      </c>
      <c r="K11" s="395">
        <v>24.199999999999996</v>
      </c>
      <c r="L11" s="394">
        <v>95547</v>
      </c>
      <c r="M11" s="395">
        <v>23.9</v>
      </c>
      <c r="N11" s="395">
        <v>16.650444283964958</v>
      </c>
      <c r="O11" s="539"/>
    </row>
    <row r="12" spans="1:15" ht="13" customHeight="1">
      <c r="A12" s="375" t="s">
        <v>181</v>
      </c>
      <c r="C12" s="805">
        <v>695</v>
      </c>
      <c r="D12" s="397">
        <v>0.6</v>
      </c>
      <c r="E12" s="805">
        <v>475</v>
      </c>
      <c r="F12" s="397">
        <v>0.4</v>
      </c>
      <c r="G12" s="397">
        <v>46.31578947368422</v>
      </c>
      <c r="H12" s="397"/>
      <c r="I12" s="596"/>
      <c r="J12" s="805">
        <v>861</v>
      </c>
      <c r="K12" s="397">
        <v>0.2</v>
      </c>
      <c r="L12" s="805">
        <v>500</v>
      </c>
      <c r="M12" s="397">
        <v>0.1</v>
      </c>
      <c r="N12" s="397">
        <v>72.2</v>
      </c>
      <c r="O12" s="397"/>
    </row>
    <row r="13" spans="1:15" s="349" customFormat="1" ht="13" customHeight="1">
      <c r="A13" s="379" t="s">
        <v>182</v>
      </c>
      <c r="B13" s="594"/>
      <c r="C13" s="806">
        <v>13018</v>
      </c>
      <c r="D13" s="399">
        <v>10.6</v>
      </c>
      <c r="E13" s="806">
        <v>11678</v>
      </c>
      <c r="F13" s="399">
        <v>10.6</v>
      </c>
      <c r="G13" s="399">
        <v>11.474567562938853</v>
      </c>
      <c r="H13" s="626">
        <v>6.4826545632867827</v>
      </c>
      <c r="I13" s="583"/>
      <c r="J13" s="806">
        <v>41439</v>
      </c>
      <c r="K13" s="399">
        <v>9</v>
      </c>
      <c r="L13" s="806">
        <v>37427</v>
      </c>
      <c r="M13" s="399">
        <v>9.4</v>
      </c>
      <c r="N13" s="399">
        <v>10.719534026237753</v>
      </c>
      <c r="O13" s="626">
        <v>2.3911547886799278</v>
      </c>
    </row>
    <row r="14" spans="1:15" ht="13" customHeight="1">
      <c r="A14" s="627" t="s">
        <v>70</v>
      </c>
      <c r="B14" s="592"/>
      <c r="C14" s="808">
        <v>27890</v>
      </c>
      <c r="D14" s="628"/>
      <c r="E14" s="808">
        <v>645</v>
      </c>
      <c r="F14" s="629"/>
      <c r="G14" s="629" t="s">
        <v>105</v>
      </c>
      <c r="H14" s="629"/>
      <c r="I14" s="583"/>
      <c r="J14" s="808">
        <v>-1545</v>
      </c>
      <c r="K14" s="628"/>
      <c r="L14" s="808">
        <v>4208</v>
      </c>
      <c r="M14" s="629"/>
      <c r="N14" s="629">
        <v>-136.71577946768062</v>
      </c>
      <c r="O14" s="629"/>
    </row>
    <row r="15" spans="1:15" ht="13" customHeight="1">
      <c r="A15" s="621" t="s">
        <v>199</v>
      </c>
      <c r="B15" s="593"/>
      <c r="C15" s="394">
        <v>2601</v>
      </c>
      <c r="D15" s="595"/>
      <c r="E15" s="394">
        <v>2648</v>
      </c>
      <c r="F15" s="395"/>
      <c r="G15" s="395">
        <v>-1.7749244712990886</v>
      </c>
      <c r="H15" s="539"/>
      <c r="I15" s="596"/>
      <c r="J15" s="394">
        <v>11124</v>
      </c>
      <c r="K15" s="595"/>
      <c r="L15" s="394">
        <v>9646</v>
      </c>
      <c r="M15" s="395"/>
      <c r="N15" s="395">
        <v>15.322413435620973</v>
      </c>
      <c r="O15" s="539"/>
    </row>
    <row r="16" spans="1:15" ht="13" customHeight="1">
      <c r="A16" s="630" t="s">
        <v>195</v>
      </c>
      <c r="B16" s="593"/>
      <c r="C16" s="807">
        <v>488</v>
      </c>
      <c r="D16" s="631"/>
      <c r="E16" s="807">
        <v>386</v>
      </c>
      <c r="F16" s="400"/>
      <c r="G16" s="400">
        <v>26.424870466321249</v>
      </c>
      <c r="H16" s="400"/>
      <c r="I16" s="596"/>
      <c r="J16" s="807">
        <v>1566</v>
      </c>
      <c r="K16" s="631"/>
      <c r="L16" s="807">
        <v>1299</v>
      </c>
      <c r="M16" s="400"/>
      <c r="N16" s="400">
        <v>20.554272517321024</v>
      </c>
      <c r="O16" s="400"/>
    </row>
    <row r="17" spans="1:15" ht="13" customHeight="1">
      <c r="A17" s="621" t="s">
        <v>197</v>
      </c>
      <c r="B17" s="593"/>
      <c r="C17" s="394">
        <v>2113</v>
      </c>
      <c r="D17" s="596"/>
      <c r="E17" s="394">
        <v>2262</v>
      </c>
      <c r="F17" s="395"/>
      <c r="G17" s="395">
        <v>-6.5870910698496932</v>
      </c>
      <c r="H17" s="539"/>
      <c r="I17" s="596"/>
      <c r="J17" s="394">
        <v>9558</v>
      </c>
      <c r="K17" s="596"/>
      <c r="L17" s="394">
        <v>8347</v>
      </c>
      <c r="M17" s="395"/>
      <c r="N17" s="395">
        <v>14.508206541272317</v>
      </c>
      <c r="O17" s="539"/>
    </row>
    <row r="18" spans="1:15" ht="13" customHeight="1">
      <c r="A18" s="630" t="s">
        <v>196</v>
      </c>
      <c r="B18" s="593"/>
      <c r="C18" s="807">
        <v>-6350</v>
      </c>
      <c r="D18" s="631"/>
      <c r="E18" s="807">
        <v>-1151</v>
      </c>
      <c r="F18" s="400"/>
      <c r="G18" s="400" t="s">
        <v>105</v>
      </c>
      <c r="H18" s="400"/>
      <c r="I18" s="596"/>
      <c r="J18" s="807">
        <v>-4956</v>
      </c>
      <c r="K18" s="631"/>
      <c r="L18" s="807">
        <v>-1131</v>
      </c>
      <c r="M18" s="400"/>
      <c r="N18" s="400" t="s">
        <v>105</v>
      </c>
      <c r="O18" s="400"/>
    </row>
    <row r="19" spans="1:15" ht="13" customHeight="1">
      <c r="A19" s="636" t="s">
        <v>198</v>
      </c>
      <c r="B19" s="592"/>
      <c r="C19" s="809">
        <v>401</v>
      </c>
      <c r="D19" s="638"/>
      <c r="E19" s="809">
        <v>-655</v>
      </c>
      <c r="F19" s="403"/>
      <c r="G19" s="403">
        <v>-161.22137404580153</v>
      </c>
      <c r="H19" s="538"/>
      <c r="I19" s="596"/>
      <c r="J19" s="809">
        <v>-1386</v>
      </c>
      <c r="K19" s="638"/>
      <c r="L19" s="809">
        <v>-2597</v>
      </c>
      <c r="M19" s="403"/>
      <c r="N19" s="403">
        <v>-46.63072776280324</v>
      </c>
      <c r="O19" s="538"/>
    </row>
    <row r="20" spans="1:15" s="349" customFormat="1" ht="13" customHeight="1">
      <c r="A20" s="627" t="s">
        <v>117</v>
      </c>
      <c r="B20" s="594"/>
      <c r="C20" s="808">
        <v>-3836</v>
      </c>
      <c r="D20" s="632"/>
      <c r="E20" s="808">
        <v>456</v>
      </c>
      <c r="F20" s="629"/>
      <c r="G20" s="629" t="s">
        <v>105</v>
      </c>
      <c r="H20" s="629"/>
      <c r="I20" s="583"/>
      <c r="J20" s="808">
        <v>3216</v>
      </c>
      <c r="K20" s="632"/>
      <c r="L20" s="808">
        <v>4619</v>
      </c>
      <c r="M20" s="629"/>
      <c r="N20" s="629">
        <v>-30.374539943710754</v>
      </c>
      <c r="O20" s="629"/>
    </row>
    <row r="21" spans="1:15" s="342" customFormat="1" ht="22.5" customHeight="1">
      <c r="A21" s="572" t="s">
        <v>200</v>
      </c>
      <c r="B21" s="582"/>
      <c r="C21" s="810">
        <v>-11036</v>
      </c>
      <c r="D21" s="590"/>
      <c r="E21" s="810">
        <v>10577</v>
      </c>
      <c r="F21" s="506"/>
      <c r="G21" s="475" t="s">
        <v>105</v>
      </c>
      <c r="H21" s="576"/>
      <c r="I21" s="587"/>
      <c r="J21" s="810">
        <v>39768</v>
      </c>
      <c r="K21" s="590"/>
      <c r="L21" s="810">
        <v>28600</v>
      </c>
      <c r="M21" s="506"/>
      <c r="N21" s="475">
        <v>39.048951048951054</v>
      </c>
      <c r="O21" s="576"/>
    </row>
    <row r="22" spans="1:15" ht="13" customHeight="1">
      <c r="A22" s="382" t="s">
        <v>13</v>
      </c>
      <c r="B22" s="592"/>
      <c r="C22" s="807">
        <v>1116.7921026718109</v>
      </c>
      <c r="D22" s="639">
        <v>-0.10119536994126593</v>
      </c>
      <c r="E22" s="807">
        <v>3339.278481288753</v>
      </c>
      <c r="F22" s="639">
        <v>0.31571130578507639</v>
      </c>
      <c r="G22" s="400">
        <v>-66.555885981668752</v>
      </c>
      <c r="H22" s="400"/>
      <c r="I22" s="583"/>
      <c r="J22" s="807">
        <v>10582.665999999999</v>
      </c>
      <c r="K22" s="902"/>
      <c r="L22" s="807">
        <v>7888.07</v>
      </c>
      <c r="M22" s="902"/>
      <c r="N22" s="400">
        <v>34.160396649624047</v>
      </c>
      <c r="O22" s="400"/>
    </row>
    <row r="23" spans="1:15" ht="13" customHeight="1">
      <c r="A23" s="381" t="s">
        <v>183</v>
      </c>
      <c r="B23" s="592"/>
      <c r="C23" s="809">
        <v>2454</v>
      </c>
      <c r="D23" s="637"/>
      <c r="E23" s="809">
        <v>1590</v>
      </c>
      <c r="F23" s="403"/>
      <c r="G23" s="403">
        <v>54.339622641509443</v>
      </c>
      <c r="H23" s="538"/>
      <c r="I23" s="583"/>
      <c r="J23" s="809">
        <v>8021</v>
      </c>
      <c r="K23" s="637"/>
      <c r="L23" s="809">
        <v>6463</v>
      </c>
      <c r="M23" s="403"/>
      <c r="N23" s="403">
        <v>24.106452112022268</v>
      </c>
      <c r="O23" s="538"/>
    </row>
    <row r="24" spans="1:15" s="349" customFormat="1" ht="13" customHeight="1">
      <c r="A24" s="640" t="s">
        <v>14</v>
      </c>
      <c r="B24" s="594"/>
      <c r="C24" s="808">
        <v>-9698.7921026718104</v>
      </c>
      <c r="D24" s="632"/>
      <c r="E24" s="808">
        <v>8827.721518711247</v>
      </c>
      <c r="F24" s="629"/>
      <c r="G24" s="629" t="s">
        <v>105</v>
      </c>
      <c r="H24" s="629"/>
      <c r="I24" s="583"/>
      <c r="J24" s="808">
        <v>37206.334000000003</v>
      </c>
      <c r="K24" s="632"/>
      <c r="L24" s="808">
        <v>27174.93</v>
      </c>
      <c r="M24" s="629"/>
      <c r="N24" s="629">
        <v>36.914185243531449</v>
      </c>
      <c r="O24" s="629"/>
    </row>
    <row r="25" spans="1:15" ht="13" customHeight="1">
      <c r="A25" s="289" t="s">
        <v>15</v>
      </c>
      <c r="B25" s="592"/>
      <c r="C25" s="394">
        <v>1828.2078973281896</v>
      </c>
      <c r="D25" s="596"/>
      <c r="E25" s="394">
        <v>6671.721518711247</v>
      </c>
      <c r="F25" s="395"/>
      <c r="G25" s="395">
        <v>-72.597658757175793</v>
      </c>
      <c r="H25" s="539"/>
      <c r="I25" s="596"/>
      <c r="J25" s="394">
        <v>42408.334000000003</v>
      </c>
      <c r="K25" s="596"/>
      <c r="L25" s="394">
        <v>21139.93</v>
      </c>
      <c r="M25" s="395"/>
      <c r="N25" s="395">
        <v>100.60773143525074</v>
      </c>
      <c r="O25" s="539"/>
    </row>
    <row r="26" spans="1:15" ht="13" customHeight="1" thickBot="1">
      <c r="A26" s="641" t="s">
        <v>16</v>
      </c>
      <c r="B26" s="643"/>
      <c r="C26" s="811">
        <v>-11527</v>
      </c>
      <c r="D26" s="642"/>
      <c r="E26" s="811">
        <v>2156</v>
      </c>
      <c r="F26" s="410"/>
      <c r="G26" s="410" t="s">
        <v>105</v>
      </c>
      <c r="H26" s="410"/>
      <c r="I26" s="596"/>
      <c r="J26" s="811">
        <v>-5202</v>
      </c>
      <c r="K26" s="642"/>
      <c r="L26" s="811">
        <v>6035</v>
      </c>
      <c r="M26" s="410"/>
      <c r="N26" s="410">
        <v>-186.19718309859155</v>
      </c>
      <c r="O26" s="410"/>
    </row>
    <row r="27" spans="1:15" ht="13" customHeight="1">
      <c r="A27" s="289"/>
      <c r="B27" s="592"/>
      <c r="C27" s="633"/>
      <c r="D27" s="597"/>
      <c r="E27" s="633"/>
      <c r="F27" s="416"/>
      <c r="G27" s="416"/>
      <c r="H27" s="634"/>
      <c r="I27" s="416"/>
      <c r="J27" s="633"/>
      <c r="K27" s="597"/>
      <c r="L27" s="635"/>
      <c r="M27" s="416"/>
      <c r="O27" s="535"/>
    </row>
    <row r="28" spans="1:15" s="346" customFormat="1" ht="13" customHeight="1">
      <c r="A28" s="575" t="s">
        <v>113</v>
      </c>
      <c r="B28" s="398"/>
      <c r="C28" s="457">
        <v>2017</v>
      </c>
      <c r="D28" s="457" t="s">
        <v>4</v>
      </c>
      <c r="E28" s="457">
        <v>2016</v>
      </c>
      <c r="F28" s="457" t="s">
        <v>4</v>
      </c>
      <c r="G28" s="457" t="s">
        <v>111</v>
      </c>
      <c r="H28" s="622" t="s">
        <v>176</v>
      </c>
      <c r="I28" s="623"/>
      <c r="J28" s="457">
        <v>2017</v>
      </c>
      <c r="K28" s="457" t="s">
        <v>4</v>
      </c>
      <c r="L28" s="457">
        <v>2016</v>
      </c>
      <c r="M28" s="457" t="s">
        <v>4</v>
      </c>
      <c r="N28" s="457" t="s">
        <v>111</v>
      </c>
      <c r="O28" s="622" t="s">
        <v>176</v>
      </c>
    </row>
    <row r="29" spans="1:15" ht="13" customHeight="1">
      <c r="A29" s="864" t="s">
        <v>73</v>
      </c>
      <c r="B29" s="592"/>
      <c r="C29" s="809">
        <v>13018</v>
      </c>
      <c r="D29" s="653">
        <v>10.6</v>
      </c>
      <c r="E29" s="809">
        <v>11678</v>
      </c>
      <c r="F29" s="653">
        <v>10.6</v>
      </c>
      <c r="G29" s="653">
        <v>11.474567562938853</v>
      </c>
      <c r="H29" s="538">
        <v>6.4826545632867827</v>
      </c>
      <c r="I29" s="583"/>
      <c r="J29" s="809">
        <v>41439</v>
      </c>
      <c r="K29" s="653">
        <v>9</v>
      </c>
      <c r="L29" s="809">
        <v>37427</v>
      </c>
      <c r="M29" s="653">
        <v>9.4</v>
      </c>
      <c r="N29" s="653">
        <v>10.719534026237753</v>
      </c>
      <c r="O29" s="538">
        <v>2.3911547886799278</v>
      </c>
    </row>
    <row r="30" spans="1:15" ht="13" customHeight="1">
      <c r="A30" s="515" t="s">
        <v>17</v>
      </c>
      <c r="C30" s="807">
        <v>4229</v>
      </c>
      <c r="D30" s="654">
        <v>3.5</v>
      </c>
      <c r="E30" s="807">
        <v>3192</v>
      </c>
      <c r="F30" s="654">
        <v>2.9</v>
      </c>
      <c r="G30" s="655">
        <v>32.487468671679196</v>
      </c>
      <c r="H30" s="865"/>
      <c r="I30" s="583"/>
      <c r="J30" s="807">
        <v>15613</v>
      </c>
      <c r="K30" s="654">
        <v>3.4</v>
      </c>
      <c r="L30" s="807">
        <v>12076</v>
      </c>
      <c r="M30" s="654">
        <v>3</v>
      </c>
      <c r="N30" s="655">
        <v>29.289499834382248</v>
      </c>
      <c r="O30" s="865"/>
    </row>
    <row r="31" spans="1:15" ht="13" customHeight="1">
      <c r="A31" s="516" t="s">
        <v>76</v>
      </c>
      <c r="B31" s="592"/>
      <c r="C31" s="809">
        <v>1298</v>
      </c>
      <c r="D31" s="653">
        <v>1</v>
      </c>
      <c r="E31" s="809">
        <v>2322</v>
      </c>
      <c r="F31" s="653">
        <v>2.1</v>
      </c>
      <c r="G31" s="403">
        <v>-44.099913867355724</v>
      </c>
      <c r="H31" s="866"/>
      <c r="I31" s="583"/>
      <c r="J31" s="809">
        <v>4366</v>
      </c>
      <c r="K31" s="653">
        <v>0.9000000000000008</v>
      </c>
      <c r="L31" s="809">
        <v>5484</v>
      </c>
      <c r="M31" s="653">
        <v>1.4000000000000004</v>
      </c>
      <c r="N31" s="403">
        <v>-20.386579139314364</v>
      </c>
      <c r="O31" s="866"/>
    </row>
    <row r="32" spans="1:15" ht="13" customHeight="1">
      <c r="A32" s="520" t="s">
        <v>63</v>
      </c>
      <c r="B32" s="592"/>
      <c r="C32" s="807">
        <v>18545</v>
      </c>
      <c r="D32" s="655">
        <v>15.1</v>
      </c>
      <c r="E32" s="807">
        <v>17192</v>
      </c>
      <c r="F32" s="655">
        <v>15.6</v>
      </c>
      <c r="G32" s="655">
        <v>7.8699395067473255</v>
      </c>
      <c r="H32" s="400">
        <v>-0.40668203647760137</v>
      </c>
      <c r="I32" s="301"/>
      <c r="J32" s="807">
        <v>61418</v>
      </c>
      <c r="K32" s="655">
        <v>13.3</v>
      </c>
      <c r="L32" s="807">
        <v>54987</v>
      </c>
      <c r="M32" s="655">
        <v>13.8</v>
      </c>
      <c r="N32" s="655">
        <v>11.69549166166548</v>
      </c>
      <c r="O32" s="400">
        <v>1.3342092284642115</v>
      </c>
    </row>
    <row r="33" spans="1:15" s="349" customFormat="1" ht="13" customHeight="1" thickBot="1">
      <c r="A33" s="656" t="s">
        <v>18</v>
      </c>
      <c r="B33" s="657"/>
      <c r="C33" s="812">
        <v>7880.8673648373169</v>
      </c>
      <c r="D33" s="867"/>
      <c r="E33" s="813">
        <v>8377.6255662345811</v>
      </c>
      <c r="F33" s="868"/>
      <c r="G33" s="407">
        <v>-5.9295822840234376</v>
      </c>
      <c r="H33" s="869"/>
      <c r="I33" s="426"/>
      <c r="J33" s="812">
        <v>25180.225168785062</v>
      </c>
      <c r="K33" s="867"/>
      <c r="L33" s="813">
        <v>22155.442045305492</v>
      </c>
      <c r="M33" s="868"/>
      <c r="N33" s="407">
        <v>13.652551446701967</v>
      </c>
      <c r="O33" s="869"/>
    </row>
    <row r="34" spans="1:15" s="349" customFormat="1" ht="13" customHeight="1">
      <c r="A34" s="387"/>
      <c r="B34" s="406"/>
      <c r="C34" s="583"/>
      <c r="D34" s="406"/>
      <c r="E34" s="596"/>
      <c r="F34" s="535"/>
      <c r="G34" s="395"/>
      <c r="H34" s="663"/>
      <c r="I34" s="426"/>
      <c r="J34" s="583"/>
      <c r="K34" s="406"/>
      <c r="L34" s="596"/>
      <c r="M34" s="535"/>
      <c r="N34" s="395"/>
      <c r="O34" s="663"/>
    </row>
    <row r="35" spans="1:15" s="346" customFormat="1" ht="15" customHeight="1">
      <c r="A35" s="575" t="s">
        <v>112</v>
      </c>
      <c r="B35" s="599"/>
      <c r="C35" s="457">
        <v>2017</v>
      </c>
      <c r="D35" s="624"/>
      <c r="E35" s="625">
        <v>2016</v>
      </c>
      <c r="F35" s="624"/>
      <c r="G35" s="457" t="s">
        <v>19</v>
      </c>
      <c r="H35" s="598"/>
      <c r="I35" s="418"/>
      <c r="J35" s="398"/>
      <c r="K35" s="398"/>
      <c r="L35" s="600"/>
      <c r="M35" s="398"/>
      <c r="N35" s="398"/>
      <c r="O35" s="418"/>
    </row>
    <row r="36" spans="1:15" ht="13.5" customHeight="1">
      <c r="A36" s="859" t="s">
        <v>184</v>
      </c>
      <c r="B36" s="592"/>
      <c r="C36" s="814">
        <v>1.725238521452648</v>
      </c>
      <c r="D36" s="601"/>
      <c r="E36" s="814">
        <v>1.36692973611932</v>
      </c>
      <c r="F36" s="417"/>
      <c r="G36" s="602">
        <v>0.35830878533332799</v>
      </c>
      <c r="H36" s="603"/>
      <c r="I36" s="604"/>
      <c r="J36" s="398"/>
      <c r="K36" s="398"/>
      <c r="N36" s="398"/>
      <c r="O36" s="605"/>
    </row>
    <row r="37" spans="1:15" ht="13.5" customHeight="1">
      <c r="A37" s="772" t="s">
        <v>185</v>
      </c>
      <c r="B37" s="658"/>
      <c r="C37" s="815">
        <v>8.7766209181258876</v>
      </c>
      <c r="D37" s="429"/>
      <c r="E37" s="815">
        <v>7.6003536693191869</v>
      </c>
      <c r="F37" s="429"/>
      <c r="G37" s="659">
        <v>1.1762672488067007</v>
      </c>
      <c r="H37" s="603"/>
      <c r="I37" s="604"/>
      <c r="J37" s="398"/>
      <c r="K37" s="398"/>
      <c r="N37" s="398"/>
      <c r="O37" s="605"/>
    </row>
    <row r="38" spans="1:15" ht="13.5" customHeight="1">
      <c r="A38" s="859" t="s">
        <v>186</v>
      </c>
      <c r="B38" s="592"/>
      <c r="C38" s="814">
        <v>0.74686861851165887</v>
      </c>
      <c r="D38" s="601"/>
      <c r="E38" s="814">
        <v>0.90663941014082539</v>
      </c>
      <c r="F38" s="417"/>
      <c r="G38" s="602">
        <v>-0.15977079162916652</v>
      </c>
      <c r="H38" s="603"/>
      <c r="I38" s="604"/>
      <c r="J38" s="398"/>
      <c r="K38" s="398"/>
      <c r="N38" s="398"/>
      <c r="O38" s="605"/>
    </row>
    <row r="39" spans="1:15" ht="13.5" customHeight="1" thickBot="1">
      <c r="A39" s="641" t="s">
        <v>187</v>
      </c>
      <c r="B39" s="660"/>
      <c r="C39" s="816">
        <v>0.27802353130324298</v>
      </c>
      <c r="D39" s="661"/>
      <c r="E39" s="816">
        <v>0.31922502343383846</v>
      </c>
      <c r="F39" s="661"/>
      <c r="G39" s="662">
        <v>-4.1201492130595483</v>
      </c>
      <c r="H39" s="603"/>
      <c r="I39" s="604"/>
      <c r="J39" s="398"/>
      <c r="K39" s="398"/>
      <c r="N39" s="398"/>
      <c r="O39" s="605"/>
    </row>
    <row r="40" spans="1:15" ht="11.15" customHeight="1">
      <c r="A40" s="837"/>
      <c r="B40" s="594"/>
      <c r="C40" s="838"/>
      <c r="D40" s="406"/>
      <c r="E40" s="838"/>
      <c r="F40" s="406"/>
      <c r="G40" s="839"/>
      <c r="H40" s="603"/>
      <c r="I40" s="604"/>
      <c r="J40" s="398"/>
      <c r="K40" s="398"/>
      <c r="N40" s="398"/>
      <c r="O40" s="605"/>
    </row>
    <row r="41" spans="1:15" ht="11.15" customHeight="1">
      <c r="A41" s="289"/>
      <c r="B41" s="592"/>
      <c r="C41" s="606"/>
      <c r="D41" s="398"/>
      <c r="E41" s="606"/>
      <c r="G41" s="605"/>
      <c r="H41" s="603"/>
      <c r="I41" s="604"/>
      <c r="J41" s="398"/>
      <c r="K41" s="398"/>
      <c r="N41" s="398"/>
      <c r="O41" s="605"/>
    </row>
    <row r="42" spans="1:15" s="861" customFormat="1" ht="22" customHeight="1">
      <c r="A42" s="910" t="s">
        <v>232</v>
      </c>
      <c r="B42" s="910"/>
      <c r="C42" s="910"/>
      <c r="D42" s="910"/>
      <c r="E42" s="910"/>
      <c r="F42" s="910"/>
      <c r="G42" s="910"/>
      <c r="H42" s="910"/>
      <c r="I42" s="862"/>
      <c r="J42" s="860"/>
      <c r="K42" s="860"/>
      <c r="L42" s="860"/>
      <c r="M42" s="860"/>
      <c r="N42" s="860"/>
      <c r="O42" s="860"/>
    </row>
    <row r="43" spans="1:15" ht="11.15" customHeight="1">
      <c r="A43" s="907" t="s">
        <v>188</v>
      </c>
      <c r="B43" s="907"/>
      <c r="C43" s="907"/>
      <c r="D43" s="907"/>
      <c r="E43" s="907"/>
      <c r="F43" s="907"/>
      <c r="G43" s="907"/>
      <c r="H43" s="907"/>
      <c r="I43" s="609"/>
      <c r="J43" s="607"/>
      <c r="K43" s="608"/>
      <c r="L43" s="611"/>
      <c r="M43" s="610"/>
      <c r="N43" s="612"/>
      <c r="O43" s="610"/>
    </row>
    <row r="44" spans="1:15" ht="11.15" customHeight="1">
      <c r="A44" s="907" t="s">
        <v>189</v>
      </c>
      <c r="B44" s="907"/>
      <c r="C44" s="907"/>
      <c r="D44" s="907"/>
      <c r="E44" s="907"/>
      <c r="F44" s="907"/>
      <c r="G44" s="907"/>
      <c r="H44" s="907"/>
      <c r="I44" s="614"/>
      <c r="J44" s="615"/>
      <c r="K44" s="615"/>
      <c r="L44" s="616"/>
      <c r="M44" s="616"/>
      <c r="N44" s="615"/>
      <c r="O44" s="614"/>
    </row>
    <row r="45" spans="1:15" ht="11.15" customHeight="1">
      <c r="A45" s="908" t="s">
        <v>190</v>
      </c>
      <c r="B45" s="908"/>
      <c r="C45" s="908"/>
      <c r="D45" s="908"/>
      <c r="E45" s="908"/>
      <c r="F45" s="908"/>
      <c r="G45" s="908"/>
      <c r="H45" s="908"/>
      <c r="I45" s="617"/>
      <c r="J45" s="617"/>
      <c r="K45" s="617"/>
      <c r="L45" s="613"/>
      <c r="M45" s="612"/>
      <c r="N45" s="617"/>
      <c r="O45" s="612"/>
    </row>
    <row r="46" spans="1:15" ht="11.15" customHeight="1">
      <c r="A46" s="905" t="s">
        <v>191</v>
      </c>
      <c r="B46" s="905"/>
      <c r="C46" s="905"/>
      <c r="D46" s="905"/>
      <c r="E46" s="905"/>
      <c r="F46" s="905"/>
      <c r="G46" s="905"/>
      <c r="H46" s="905"/>
      <c r="I46" s="617"/>
      <c r="J46" s="617"/>
      <c r="K46" s="617"/>
      <c r="L46" s="613"/>
      <c r="M46" s="612"/>
      <c r="N46" s="617"/>
      <c r="O46" s="612"/>
    </row>
    <row r="47" spans="1:15" ht="11.15" customHeight="1">
      <c r="A47" s="905" t="s">
        <v>192</v>
      </c>
      <c r="B47" s="905"/>
      <c r="C47" s="905"/>
      <c r="D47" s="905"/>
      <c r="E47" s="905"/>
      <c r="F47" s="905"/>
      <c r="G47" s="905"/>
      <c r="H47" s="905"/>
      <c r="I47" s="617"/>
      <c r="J47" s="617"/>
      <c r="K47" s="617"/>
      <c r="L47" s="613"/>
      <c r="M47" s="612"/>
      <c r="N47" s="617"/>
      <c r="O47" s="612"/>
    </row>
    <row r="48" spans="1:15" ht="11.15" customHeight="1">
      <c r="A48" s="905" t="s">
        <v>193</v>
      </c>
      <c r="B48" s="905"/>
      <c r="C48" s="905"/>
      <c r="D48" s="905"/>
      <c r="E48" s="905"/>
      <c r="F48" s="905"/>
      <c r="G48" s="905"/>
      <c r="H48" s="905"/>
      <c r="I48" s="617"/>
      <c r="J48" s="617"/>
      <c r="K48" s="617"/>
      <c r="L48" s="613"/>
      <c r="M48" s="612"/>
      <c r="N48" s="617"/>
      <c r="O48" s="612"/>
    </row>
    <row r="49" spans="1:15" ht="11.15" customHeight="1">
      <c r="A49" s="905" t="s">
        <v>194</v>
      </c>
      <c r="B49" s="905"/>
      <c r="C49" s="905"/>
      <c r="D49" s="905"/>
      <c r="E49" s="905"/>
      <c r="F49" s="905"/>
      <c r="G49" s="905"/>
      <c r="H49" s="905"/>
      <c r="I49" s="617"/>
      <c r="J49" s="617"/>
      <c r="K49" s="617"/>
      <c r="L49" s="613"/>
      <c r="M49" s="612"/>
      <c r="N49" s="617"/>
      <c r="O49" s="612"/>
    </row>
    <row r="50" spans="1:15" ht="11.15" customHeight="1">
      <c r="A50" s="906" t="s">
        <v>20</v>
      </c>
      <c r="B50" s="906"/>
      <c r="C50" s="906"/>
      <c r="D50" s="906"/>
      <c r="E50" s="906"/>
      <c r="F50" s="906"/>
      <c r="G50" s="906"/>
      <c r="H50" s="906"/>
      <c r="I50" s="617"/>
      <c r="J50" s="618"/>
      <c r="K50" s="612"/>
      <c r="L50" s="613"/>
      <c r="M50" s="612"/>
      <c r="N50" s="612"/>
      <c r="O50" s="617"/>
    </row>
  </sheetData>
  <mergeCells count="14">
    <mergeCell ref="C5:H5"/>
    <mergeCell ref="J5:O5"/>
    <mergeCell ref="A42:H42"/>
    <mergeCell ref="A1:O1"/>
    <mergeCell ref="A2:O2"/>
    <mergeCell ref="A3:O3"/>
    <mergeCell ref="A48:H48"/>
    <mergeCell ref="A49:H49"/>
    <mergeCell ref="A50:H50"/>
    <mergeCell ref="A43:H43"/>
    <mergeCell ref="A44:H44"/>
    <mergeCell ref="A45:H45"/>
    <mergeCell ref="A46:H46"/>
    <mergeCell ref="A47:H47"/>
  </mergeCells>
  <pageMargins left="0.19685039370078741" right="0.31496062992125984" top="0.78740157480314965" bottom="0.23622047244094491" header="0" footer="0"/>
  <pageSetup scale="6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GridLines="0" view="pageBreakPreview" zoomScale="70" zoomScaleNormal="100" zoomScaleSheetLayoutView="70" workbookViewId="0">
      <selection activeCell="P8" sqref="P8"/>
    </sheetView>
  </sheetViews>
  <sheetFormatPr defaultColWidth="9.81640625" defaultRowHeight="15.5"/>
  <cols>
    <col min="1" max="1" width="51.453125" style="2" customWidth="1"/>
    <col min="2" max="2" width="3.81640625" style="6" customWidth="1"/>
    <col min="3" max="4" width="11.7265625" style="2" customWidth="1"/>
    <col min="5" max="5" width="13.1796875" style="2" bestFit="1" customWidth="1"/>
    <col min="6" max="7" width="11.7265625" style="6" customWidth="1"/>
    <col min="8" max="8" width="6.7265625" style="2" bestFit="1" customWidth="1"/>
    <col min="9" max="13" width="11.7265625" style="2" customWidth="1"/>
    <col min="14" max="16384" width="9.81640625" style="2"/>
  </cols>
  <sheetData>
    <row r="1" spans="1:15" ht="39" customHeight="1">
      <c r="A1" s="933" t="s">
        <v>142</v>
      </c>
      <c r="B1" s="933"/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244"/>
    </row>
    <row r="2" spans="1:15" ht="15" customHeight="1">
      <c r="A2" s="918" t="s">
        <v>22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230"/>
    </row>
    <row r="3" spans="1:15" ht="15" customHeight="1">
      <c r="A3" s="934" t="s">
        <v>2</v>
      </c>
      <c r="B3" s="934"/>
      <c r="C3" s="934"/>
      <c r="D3" s="934"/>
      <c r="E3" s="934"/>
      <c r="F3" s="934"/>
      <c r="G3" s="934"/>
      <c r="H3" s="934"/>
      <c r="I3" s="934"/>
      <c r="J3" s="934"/>
      <c r="K3" s="934"/>
      <c r="L3" s="934"/>
      <c r="M3" s="934"/>
      <c r="N3" s="240"/>
    </row>
    <row r="4" spans="1:15" ht="18">
      <c r="A4" s="919"/>
      <c r="B4" s="919"/>
      <c r="C4" s="919"/>
      <c r="D4" s="919"/>
      <c r="E4" s="919"/>
      <c r="F4" s="919"/>
      <c r="G4" s="919"/>
      <c r="H4" s="919"/>
      <c r="I4" s="4"/>
      <c r="J4" s="4"/>
      <c r="K4" s="4"/>
      <c r="L4" s="4"/>
      <c r="M4" s="6"/>
    </row>
    <row r="5" spans="1:15">
      <c r="A5" s="7"/>
      <c r="B5" s="8"/>
      <c r="C5" s="7"/>
      <c r="D5" s="7"/>
      <c r="E5" s="231"/>
      <c r="F5" s="8"/>
      <c r="G5" s="8"/>
      <c r="H5" s="7"/>
      <c r="I5" s="7"/>
      <c r="J5" s="10"/>
    </row>
    <row r="6" spans="1:15">
      <c r="A6" s="11"/>
      <c r="B6" s="11"/>
      <c r="C6" s="932" t="str">
        <f>+'Consolidado Resultados'!C5:H5</f>
        <v>Por el cuarto trimestre de:</v>
      </c>
      <c r="D6" s="932"/>
      <c r="E6" s="932"/>
      <c r="F6" s="932"/>
      <c r="G6" s="932"/>
      <c r="H6" s="236"/>
      <c r="I6" s="932" t="s">
        <v>118</v>
      </c>
      <c r="J6" s="932"/>
      <c r="K6" s="932"/>
      <c r="L6" s="932"/>
      <c r="M6" s="932"/>
    </row>
    <row r="7" spans="1:15">
      <c r="A7" s="14"/>
      <c r="B7" s="15"/>
      <c r="C7" s="90">
        <f>+'Consolidado Resultados'!C6</f>
        <v>2017</v>
      </c>
      <c r="D7" s="17" t="s">
        <v>4</v>
      </c>
      <c r="E7" s="90">
        <f>+'Consolidado Resultados'!E6</f>
        <v>2016</v>
      </c>
      <c r="F7" s="17" t="s">
        <v>4</v>
      </c>
      <c r="G7" s="80" t="s">
        <v>111</v>
      </c>
      <c r="H7" s="236"/>
      <c r="I7" s="90">
        <v>2015</v>
      </c>
      <c r="J7" s="17" t="s">
        <v>4</v>
      </c>
      <c r="K7" s="90">
        <v>2014</v>
      </c>
      <c r="L7" s="17" t="s">
        <v>4</v>
      </c>
      <c r="M7" s="17" t="s">
        <v>111</v>
      </c>
      <c r="N7" s="20"/>
      <c r="O7" s="20"/>
    </row>
    <row r="8" spans="1:15">
      <c r="A8" s="25" t="s">
        <v>5</v>
      </c>
      <c r="B8" s="25"/>
      <c r="C8" s="42">
        <v>38992.741999999998</v>
      </c>
      <c r="D8" s="32">
        <f>((+C8/C$8)*100)</f>
        <v>100</v>
      </c>
      <c r="E8" s="42">
        <v>33570.222000000002</v>
      </c>
      <c r="F8" s="32">
        <f>((+E8/E$8)*100)</f>
        <v>100</v>
      </c>
      <c r="G8" s="33">
        <f t="shared" ref="G8:G16" si="0">IF((((C8/E8)-1)*100)&gt;=100,"N.A.",(IF((((C8/E8)-1)*100)&lt;=-100,"N.A.",(((C8/E8)-1)*100))))</f>
        <v>16.152767771389765</v>
      </c>
      <c r="H8" s="31"/>
      <c r="I8" s="42">
        <v>72402.967999999993</v>
      </c>
      <c r="J8" s="32">
        <f>((+I8/I$8)*100)</f>
        <v>100</v>
      </c>
      <c r="K8" s="42">
        <v>63556.069000000003</v>
      </c>
      <c r="L8" s="32">
        <f>((+K8/K$8)*100)</f>
        <v>100</v>
      </c>
      <c r="M8" s="33">
        <f t="shared" ref="M8:M17" si="1">IF((((I8/K8)-1)*100)&gt;=100,"N.A.",(IF((((I8/K8)-1)*100)&lt;=-100,"N.A.",(((I8/K8)-1)*100))))</f>
        <v>13.919833525260961</v>
      </c>
    </row>
    <row r="9" spans="1:15">
      <c r="A9" s="34" t="s">
        <v>6</v>
      </c>
      <c r="B9" s="25"/>
      <c r="C9" s="42">
        <f>+C8-C10</f>
        <v>24780.403999999999</v>
      </c>
      <c r="D9" s="35">
        <f>D8-D10</f>
        <v>63.6</v>
      </c>
      <c r="E9" s="42">
        <f>+E8-E10</f>
        <v>21541.486000000001</v>
      </c>
      <c r="F9" s="35">
        <f>F8-F10</f>
        <v>64.2</v>
      </c>
      <c r="G9" s="36">
        <f t="shared" si="0"/>
        <v>15.035722233832892</v>
      </c>
      <c r="H9" s="31"/>
      <c r="I9" s="42">
        <f>+I8-I10</f>
        <v>46498.280999999988</v>
      </c>
      <c r="J9" s="35">
        <f>J8-J10</f>
        <v>64.2</v>
      </c>
      <c r="K9" s="42">
        <f>+K8-K10</f>
        <v>41348.960000000006</v>
      </c>
      <c r="L9" s="35">
        <f>L8-L10</f>
        <v>65.099999999999994</v>
      </c>
      <c r="M9" s="36">
        <f t="shared" si="1"/>
        <v>12.453326516555641</v>
      </c>
    </row>
    <row r="10" spans="1:15">
      <c r="A10" s="34" t="s">
        <v>7</v>
      </c>
      <c r="B10" s="25"/>
      <c r="C10" s="237">
        <v>14212.338</v>
      </c>
      <c r="D10" s="35">
        <f>ROUND(((+C10/C$8)*100),1)</f>
        <v>36.4</v>
      </c>
      <c r="E10" s="237">
        <v>12028.736000000001</v>
      </c>
      <c r="F10" s="35">
        <f>ROUND(((+E10/E$8)*100),1)</f>
        <v>35.799999999999997</v>
      </c>
      <c r="G10" s="36">
        <f t="shared" si="0"/>
        <v>18.153212440608879</v>
      </c>
      <c r="H10" s="31"/>
      <c r="I10" s="237">
        <v>25904.687000000002</v>
      </c>
      <c r="J10" s="35">
        <f>ROUND(((+I10/I$8)*100),1)</f>
        <v>35.799999999999997</v>
      </c>
      <c r="K10" s="237">
        <v>22207.109</v>
      </c>
      <c r="L10" s="35">
        <f>ROUND(((+K10/K$8)*100),1)</f>
        <v>34.9</v>
      </c>
      <c r="M10" s="36">
        <f t="shared" si="1"/>
        <v>16.650424870702452</v>
      </c>
    </row>
    <row r="11" spans="1:15">
      <c r="A11" s="44" t="s">
        <v>34</v>
      </c>
      <c r="B11" s="21"/>
      <c r="C11" s="42">
        <v>3230.953</v>
      </c>
      <c r="D11" s="32">
        <f>ROUND(((+C11/C$8)*100),1)</f>
        <v>8.3000000000000007</v>
      </c>
      <c r="E11" s="42">
        <v>2456.212</v>
      </c>
      <c r="F11" s="32">
        <f>ROUND(((+E11/E$8)*100),1)</f>
        <v>7.3</v>
      </c>
      <c r="G11" s="33">
        <f t="shared" si="0"/>
        <v>31.5421063002705</v>
      </c>
      <c r="H11" s="159"/>
      <c r="I11" s="42">
        <v>6075.8339999999998</v>
      </c>
      <c r="J11" s="32">
        <f>ROUND(((+I11/I$8)*100),1)</f>
        <v>8.4</v>
      </c>
      <c r="K11" s="42">
        <v>4621.8999999999996</v>
      </c>
      <c r="L11" s="32">
        <f>ROUND(((+K11/K$8)*100),1)</f>
        <v>7.3</v>
      </c>
      <c r="M11" s="33">
        <f t="shared" si="1"/>
        <v>31.457495835046203</v>
      </c>
    </row>
    <row r="12" spans="1:15">
      <c r="A12" s="44" t="s">
        <v>35</v>
      </c>
      <c r="B12" s="21"/>
      <c r="C12" s="42">
        <f>+C10-C11-C13-C14</f>
        <v>7626.598</v>
      </c>
      <c r="D12" s="32">
        <f>+D10-D11-D14-D13</f>
        <v>19.399999999999999</v>
      </c>
      <c r="E12" s="42">
        <f>+E10-E11-E13-E14</f>
        <v>6731.3250000000007</v>
      </c>
      <c r="F12" s="32">
        <f>+F10-F11-F14-F13</f>
        <v>19.999999999999996</v>
      </c>
      <c r="G12" s="33">
        <f t="shared" si="0"/>
        <v>13.300100648832135</v>
      </c>
      <c r="H12" s="31"/>
      <c r="I12" s="42">
        <f>+I10-I11-I13-I14</f>
        <v>14815.673000000003</v>
      </c>
      <c r="J12" s="32">
        <f>+J10-J11-J14-J13</f>
        <v>20.5</v>
      </c>
      <c r="K12" s="42">
        <f>+K10-K11-K13-K14</f>
        <v>13090.712000000001</v>
      </c>
      <c r="L12" s="32">
        <f>+L10-L11-L14-L13</f>
        <v>20.499999999999996</v>
      </c>
      <c r="M12" s="33">
        <f t="shared" si="1"/>
        <v>13.176983803478382</v>
      </c>
    </row>
    <row r="13" spans="1:15">
      <c r="A13" s="25" t="s">
        <v>75</v>
      </c>
      <c r="B13" s="25"/>
      <c r="C13" s="42">
        <v>59.893999999999998</v>
      </c>
      <c r="D13" s="88">
        <f>ROUND(((+C13/C$8)*100),1)</f>
        <v>0.2</v>
      </c>
      <c r="E13" s="42">
        <v>58.932000000000002</v>
      </c>
      <c r="F13" s="32">
        <f>ROUND(((+E13/E$8)*100),1)</f>
        <v>0.2</v>
      </c>
      <c r="G13" s="184">
        <f t="shared" si="0"/>
        <v>1.632389873074036</v>
      </c>
      <c r="H13" s="31"/>
      <c r="I13" s="42">
        <v>128.11500000000001</v>
      </c>
      <c r="J13" s="32">
        <f>ROUND(((+I13/I$8)*100),1)</f>
        <v>0.2</v>
      </c>
      <c r="K13" s="42">
        <v>114.648</v>
      </c>
      <c r="L13" s="32">
        <f>ROUND(((+K13/K$8)*100),1)</f>
        <v>0.2</v>
      </c>
      <c r="M13" s="33">
        <f t="shared" si="1"/>
        <v>11.7463889470379</v>
      </c>
    </row>
    <row r="14" spans="1:15" s="76" customFormat="1">
      <c r="A14" s="124" t="s">
        <v>72</v>
      </c>
      <c r="B14" s="125"/>
      <c r="C14" s="122">
        <v>3294.893</v>
      </c>
      <c r="D14" s="123">
        <f>ROUND(((+C14/C$8)*100),1)</f>
        <v>8.5</v>
      </c>
      <c r="E14" s="122">
        <v>2782.2669999999998</v>
      </c>
      <c r="F14" s="123">
        <f>ROUND(((+E14/E$8)*100),1)</f>
        <v>8.3000000000000007</v>
      </c>
      <c r="G14" s="174">
        <f t="shared" si="0"/>
        <v>18.424759377874246</v>
      </c>
      <c r="H14" s="115"/>
      <c r="I14" s="122">
        <v>4885.0649999999996</v>
      </c>
      <c r="J14" s="123">
        <f>ROUND(((+I14/I$8)*100),1)</f>
        <v>6.7</v>
      </c>
      <c r="K14" s="122">
        <v>4379.8490000000002</v>
      </c>
      <c r="L14" s="123">
        <f>ROUND(((+K14/K$8)*100),1)</f>
        <v>6.9</v>
      </c>
      <c r="M14" s="174">
        <f t="shared" si="1"/>
        <v>11.535009540283214</v>
      </c>
    </row>
    <row r="15" spans="1:15" ht="15.75" customHeight="1">
      <c r="A15" s="6" t="s">
        <v>17</v>
      </c>
      <c r="C15" s="42">
        <v>988.05799999999999</v>
      </c>
      <c r="D15" s="62">
        <f>ROUND(((+C15/C$8)*100),1)</f>
        <v>2.5</v>
      </c>
      <c r="E15" s="42">
        <v>835.82899999999995</v>
      </c>
      <c r="F15" s="62">
        <f>ROUND(((+E15/E$8)*100),1)</f>
        <v>2.5</v>
      </c>
      <c r="G15" s="175">
        <f t="shared" si="0"/>
        <v>18.212935899567984</v>
      </c>
      <c r="H15" s="115"/>
      <c r="I15" s="42">
        <v>1947.018</v>
      </c>
      <c r="J15" s="62">
        <f>ROUND(((+I15/I$8)*100),1)</f>
        <v>2.7</v>
      </c>
      <c r="K15" s="42">
        <v>1644.7260000000001</v>
      </c>
      <c r="L15" s="62">
        <f>ROUND(((+K15/K$8)*100),1)</f>
        <v>2.6</v>
      </c>
      <c r="M15" s="175">
        <f t="shared" si="1"/>
        <v>18.379474757497594</v>
      </c>
    </row>
    <row r="16" spans="1:15" ht="15.75" customHeight="1">
      <c r="A16" s="64" t="s">
        <v>76</v>
      </c>
      <c r="B16" s="25"/>
      <c r="C16" s="238">
        <f>+C17-C15-C14</f>
        <v>115.6220000000003</v>
      </c>
      <c r="D16" s="62">
        <f>D17-D14-D15</f>
        <v>0.30000000000000071</v>
      </c>
      <c r="E16" s="238">
        <f>+E17-E15-E14</f>
        <v>99.893000000000029</v>
      </c>
      <c r="F16" s="62">
        <f>F17-F14-F15</f>
        <v>0.29999999999999893</v>
      </c>
      <c r="G16" s="224">
        <f t="shared" si="0"/>
        <v>15.745848057421696</v>
      </c>
      <c r="H16" s="115"/>
      <c r="I16" s="238">
        <f>+I17-I15-I14</f>
        <v>226.65200000000004</v>
      </c>
      <c r="J16" s="62">
        <f>J17-J14-J15</f>
        <v>0.29999999999999893</v>
      </c>
      <c r="K16" s="238">
        <f>+K17-K15-K14</f>
        <v>195.47699999999895</v>
      </c>
      <c r="L16" s="62">
        <f>L17-L14-L15</f>
        <v>0.30000000000000027</v>
      </c>
      <c r="M16" s="184">
        <f t="shared" si="1"/>
        <v>15.948167815140014</v>
      </c>
    </row>
    <row r="17" spans="1:13" ht="15.75" customHeight="1">
      <c r="A17" s="67" t="s">
        <v>63</v>
      </c>
      <c r="B17" s="25"/>
      <c r="C17" s="42">
        <v>4398.5730000000003</v>
      </c>
      <c r="D17" s="69">
        <f>ROUND(((+C17/C$8)*100),1)</f>
        <v>11.3</v>
      </c>
      <c r="E17" s="42">
        <v>3717.989</v>
      </c>
      <c r="F17" s="69">
        <f>ROUND(((+E17/E$8)*100),1)</f>
        <v>11.1</v>
      </c>
      <c r="G17" s="176">
        <f>IF((((C17/E17)-1)*100)&gt;=100,"N.A.",(IF((((C17/E17)-1)*100)&lt;=-100,"N.A.",(((C17/E17)-1)*100))))-0.01</f>
        <v>18.295164431632259</v>
      </c>
      <c r="H17" s="31"/>
      <c r="I17" s="42">
        <v>7058.7349999999997</v>
      </c>
      <c r="J17" s="69">
        <f>ROUND(((+I17/I$8)*100),1)</f>
        <v>9.6999999999999993</v>
      </c>
      <c r="K17" s="42">
        <v>6220.0519999999997</v>
      </c>
      <c r="L17" s="69">
        <f>ROUND(((+K17/K$8)*100),1)</f>
        <v>9.8000000000000007</v>
      </c>
      <c r="M17" s="176">
        <f t="shared" si="1"/>
        <v>13.483536793583074</v>
      </c>
    </row>
    <row r="18" spans="1:13">
      <c r="E18" s="86"/>
      <c r="F18" s="234"/>
    </row>
    <row r="19" spans="1:13">
      <c r="C19" s="20"/>
    </row>
  </sheetData>
  <mergeCells count="6">
    <mergeCell ref="A4:H4"/>
    <mergeCell ref="C6:G6"/>
    <mergeCell ref="I6:M6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53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6865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5" r:id="rId4"/>
      </mc:Fallback>
    </mc:AlternateContent>
    <mc:AlternateContent xmlns:mc="http://schemas.openxmlformats.org/markup-compatibility/2006">
      <mc:Choice Requires="x14">
        <oleObject progId="Word.Picture.8" shapeId="36866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6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1"/>
  <sheetViews>
    <sheetView showGridLines="0" zoomScaleNormal="100" zoomScaleSheetLayoutView="130" workbookViewId="0">
      <selection sqref="A1:O1"/>
    </sheetView>
  </sheetViews>
  <sheetFormatPr defaultColWidth="9.81640625" defaultRowHeight="10.5"/>
  <cols>
    <col min="1" max="1" width="42.7265625" style="343" customWidth="1"/>
    <col min="2" max="2" width="1.7265625" style="346" customWidth="1"/>
    <col min="3" max="3" width="8.453125" style="343" bestFit="1" customWidth="1"/>
    <col min="4" max="8" width="7.7265625" style="343" customWidth="1"/>
    <col min="9" max="9" width="4.7265625" style="343" customWidth="1"/>
    <col min="10" max="10" width="9.54296875" style="343" bestFit="1" customWidth="1"/>
    <col min="11" max="12" width="8.453125" style="343" bestFit="1" customWidth="1"/>
    <col min="13" max="15" width="7.7265625" style="343" customWidth="1"/>
    <col min="16" max="16" width="11.7265625" style="343" customWidth="1"/>
    <col min="17" max="16384" width="9.81640625" style="343"/>
  </cols>
  <sheetData>
    <row r="1" spans="1:19" ht="11.15" customHeight="1">
      <c r="A1" s="911" t="s">
        <v>21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</row>
    <row r="2" spans="1:19" ht="11.15" customHeight="1">
      <c r="A2" s="912" t="s">
        <v>22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912"/>
      <c r="O2" s="912"/>
    </row>
    <row r="3" spans="1:19" ht="11.15" customHeight="1">
      <c r="A3" s="913" t="s">
        <v>2</v>
      </c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  <c r="N3" s="913"/>
      <c r="O3" s="913"/>
    </row>
    <row r="4" spans="1:19" ht="11.15" customHeight="1">
      <c r="A4" s="325"/>
      <c r="B4" s="326"/>
      <c r="C4" s="325"/>
      <c r="D4" s="325"/>
      <c r="E4" s="325"/>
      <c r="F4" s="325"/>
      <c r="G4" s="325"/>
      <c r="H4" s="325"/>
      <c r="I4" s="325"/>
      <c r="J4" s="325"/>
      <c r="K4" s="326"/>
      <c r="L4" s="546"/>
      <c r="M4" s="546"/>
      <c r="N4" s="325"/>
      <c r="O4" s="325"/>
    </row>
    <row r="5" spans="1:19" ht="15" customHeight="1">
      <c r="A5" s="344"/>
      <c r="B5" s="344"/>
      <c r="C5" s="909" t="s">
        <v>240</v>
      </c>
      <c r="D5" s="909"/>
      <c r="E5" s="909"/>
      <c r="F5" s="909"/>
      <c r="G5" s="909"/>
      <c r="H5" s="909"/>
      <c r="I5" s="365"/>
      <c r="J5" s="909" t="s">
        <v>118</v>
      </c>
      <c r="K5" s="909"/>
      <c r="L5" s="909"/>
      <c r="M5" s="909"/>
      <c r="N5" s="909"/>
      <c r="O5" s="909"/>
    </row>
    <row r="6" spans="1:19" s="362" customFormat="1" ht="15" customHeight="1">
      <c r="A6" s="358"/>
      <c r="B6" s="358"/>
      <c r="C6" s="359">
        <v>2017</v>
      </c>
      <c r="D6" s="359" t="s">
        <v>4</v>
      </c>
      <c r="E6" s="359">
        <v>2016</v>
      </c>
      <c r="F6" s="359" t="s">
        <v>4</v>
      </c>
      <c r="G6" s="359" t="s">
        <v>111</v>
      </c>
      <c r="H6" s="359" t="s">
        <v>176</v>
      </c>
      <c r="I6" s="359"/>
      <c r="J6" s="359">
        <v>2017</v>
      </c>
      <c r="K6" s="359" t="s">
        <v>4</v>
      </c>
      <c r="L6" s="359">
        <v>2016</v>
      </c>
      <c r="M6" s="359" t="s">
        <v>4</v>
      </c>
      <c r="N6" s="359" t="s">
        <v>111</v>
      </c>
      <c r="O6" s="359" t="s">
        <v>176</v>
      </c>
      <c r="R6" s="361"/>
      <c r="S6" s="361"/>
    </row>
    <row r="7" spans="1:19" s="346" customFormat="1" ht="11.15" customHeight="1">
      <c r="A7" s="568"/>
      <c r="B7" s="347"/>
      <c r="C7" s="560"/>
      <c r="D7" s="416"/>
      <c r="E7" s="560"/>
      <c r="F7" s="561"/>
      <c r="G7" s="552"/>
      <c r="H7" s="552"/>
      <c r="I7" s="553" t="e">
        <v>#DIV/0!</v>
      </c>
      <c r="J7" s="560"/>
      <c r="K7" s="416"/>
      <c r="L7" s="560"/>
      <c r="M7" s="561"/>
      <c r="N7" s="552"/>
      <c r="O7" s="552"/>
    </row>
    <row r="8" spans="1:19" ht="13" customHeight="1">
      <c r="A8" s="289" t="s">
        <v>177</v>
      </c>
      <c r="B8" s="271"/>
      <c r="C8" s="394">
        <v>55275</v>
      </c>
      <c r="D8" s="395">
        <v>100</v>
      </c>
      <c r="E8" s="394">
        <v>49533</v>
      </c>
      <c r="F8" s="395">
        <v>100</v>
      </c>
      <c r="G8" s="395">
        <v>11.592271818787481</v>
      </c>
      <c r="H8" s="395">
        <v>-3.7631521519468358</v>
      </c>
      <c r="I8" s="554"/>
      <c r="J8" s="394">
        <v>203780</v>
      </c>
      <c r="K8" s="395">
        <v>100</v>
      </c>
      <c r="L8" s="394">
        <v>177718</v>
      </c>
      <c r="M8" s="395">
        <v>100</v>
      </c>
      <c r="N8" s="395">
        <v>14.664806041031287</v>
      </c>
      <c r="O8" s="395">
        <v>-2.7854323495903222</v>
      </c>
      <c r="P8" s="547"/>
    </row>
    <row r="9" spans="1:19" ht="13" customHeight="1">
      <c r="A9" s="375" t="s">
        <v>6</v>
      </c>
      <c r="B9" s="271"/>
      <c r="C9" s="805">
        <v>30212</v>
      </c>
      <c r="D9" s="397">
        <v>54.7</v>
      </c>
      <c r="E9" s="805">
        <v>27146</v>
      </c>
      <c r="F9" s="397">
        <v>54.8</v>
      </c>
      <c r="G9" s="397">
        <v>11.294481691593594</v>
      </c>
      <c r="H9" s="397"/>
      <c r="I9" s="555"/>
      <c r="J9" s="805">
        <v>112094</v>
      </c>
      <c r="K9" s="397">
        <v>55</v>
      </c>
      <c r="L9" s="805">
        <v>98056</v>
      </c>
      <c r="M9" s="397">
        <v>55.2</v>
      </c>
      <c r="N9" s="397">
        <v>14.316309047891007</v>
      </c>
      <c r="O9" s="397"/>
    </row>
    <row r="10" spans="1:19" ht="13" customHeight="1">
      <c r="A10" s="376" t="s">
        <v>7</v>
      </c>
      <c r="B10" s="271"/>
      <c r="C10" s="817">
        <v>25063</v>
      </c>
      <c r="D10" s="556">
        <v>45.3</v>
      </c>
      <c r="E10" s="817">
        <v>22388</v>
      </c>
      <c r="F10" s="556">
        <v>45.2</v>
      </c>
      <c r="G10" s="556">
        <v>11.95836519564053</v>
      </c>
      <c r="H10" s="556"/>
      <c r="I10" s="555"/>
      <c r="J10" s="817">
        <v>91686</v>
      </c>
      <c r="K10" s="556">
        <v>45</v>
      </c>
      <c r="L10" s="817">
        <v>79662</v>
      </c>
      <c r="M10" s="556">
        <v>44.8</v>
      </c>
      <c r="N10" s="556">
        <v>15.093771183249238</v>
      </c>
      <c r="O10" s="556"/>
    </row>
    <row r="11" spans="1:19" ht="13" customHeight="1">
      <c r="A11" s="377" t="s">
        <v>34</v>
      </c>
      <c r="B11" s="347"/>
      <c r="C11" s="807">
        <v>2223</v>
      </c>
      <c r="D11" s="400">
        <v>4</v>
      </c>
      <c r="E11" s="807">
        <v>1875</v>
      </c>
      <c r="F11" s="400">
        <v>3.8</v>
      </c>
      <c r="G11" s="400">
        <v>18.559999999999999</v>
      </c>
      <c r="H11" s="400"/>
      <c r="I11" s="555"/>
      <c r="J11" s="807">
        <v>8983</v>
      </c>
      <c r="K11" s="400">
        <v>4.4000000000000004</v>
      </c>
      <c r="L11" s="807">
        <v>7423</v>
      </c>
      <c r="M11" s="400">
        <v>4.2</v>
      </c>
      <c r="N11" s="400">
        <v>21.01576182136602</v>
      </c>
      <c r="O11" s="400"/>
    </row>
    <row r="12" spans="1:19" ht="13" customHeight="1">
      <c r="A12" s="378" t="s">
        <v>35</v>
      </c>
      <c r="B12" s="347"/>
      <c r="C12" s="409">
        <v>14641.836953151538</v>
      </c>
      <c r="D12" s="396">
        <v>26.499999999999996</v>
      </c>
      <c r="E12" s="394">
        <v>12883</v>
      </c>
      <c r="F12" s="395">
        <v>25.900000000000006</v>
      </c>
      <c r="G12" s="395">
        <v>13.652386502767499</v>
      </c>
      <c r="H12" s="395"/>
      <c r="I12" s="557"/>
      <c r="J12" s="409">
        <v>55926.692999999999</v>
      </c>
      <c r="K12" s="396">
        <v>27.6</v>
      </c>
      <c r="L12" s="394">
        <v>48039</v>
      </c>
      <c r="M12" s="395">
        <v>26.899999999999995</v>
      </c>
      <c r="N12" s="395">
        <v>16.419353025666638</v>
      </c>
      <c r="O12" s="395"/>
    </row>
    <row r="13" spans="1:19" ht="13" customHeight="1">
      <c r="A13" s="375" t="s">
        <v>75</v>
      </c>
      <c r="C13" s="805">
        <v>614</v>
      </c>
      <c r="D13" s="397">
        <v>1.1000000000000001</v>
      </c>
      <c r="E13" s="805">
        <v>463</v>
      </c>
      <c r="F13" s="397">
        <v>0.9</v>
      </c>
      <c r="G13" s="397">
        <v>32.613390928725707</v>
      </c>
      <c r="H13" s="397"/>
      <c r="I13" s="557"/>
      <c r="J13" s="805">
        <v>601</v>
      </c>
      <c r="K13" s="397">
        <v>0.3</v>
      </c>
      <c r="L13" s="805">
        <v>280</v>
      </c>
      <c r="M13" s="397">
        <v>0.2</v>
      </c>
      <c r="N13" s="397">
        <v>114.64285714285714</v>
      </c>
      <c r="O13" s="397"/>
    </row>
    <row r="14" spans="1:19" s="349" customFormat="1" ht="13" customHeight="1">
      <c r="A14" s="379" t="s">
        <v>72</v>
      </c>
      <c r="B14" s="348"/>
      <c r="C14" s="806">
        <v>7584</v>
      </c>
      <c r="D14" s="399">
        <v>13.7</v>
      </c>
      <c r="E14" s="806">
        <v>7167</v>
      </c>
      <c r="F14" s="399">
        <v>14.5</v>
      </c>
      <c r="G14" s="399">
        <v>5.818334030975314</v>
      </c>
      <c r="H14" s="399">
        <v>-0.99342272551382615</v>
      </c>
      <c r="I14" s="554"/>
      <c r="J14" s="806">
        <v>26175</v>
      </c>
      <c r="K14" s="399">
        <v>12.8</v>
      </c>
      <c r="L14" s="806">
        <v>23920</v>
      </c>
      <c r="M14" s="399">
        <v>13.5</v>
      </c>
      <c r="N14" s="399">
        <v>9.4272575250836219</v>
      </c>
      <c r="O14" s="399">
        <v>-2.1330178814169543</v>
      </c>
    </row>
    <row r="15" spans="1:19" ht="13" customHeight="1">
      <c r="A15" s="380" t="s">
        <v>17</v>
      </c>
      <c r="C15" s="807">
        <v>2791</v>
      </c>
      <c r="D15" s="400">
        <v>5</v>
      </c>
      <c r="E15" s="807">
        <v>2072</v>
      </c>
      <c r="F15" s="400">
        <v>4.2</v>
      </c>
      <c r="G15" s="400">
        <v>34.700772200772192</v>
      </c>
      <c r="H15" s="400"/>
      <c r="I15" s="557"/>
      <c r="J15" s="807">
        <v>10216</v>
      </c>
      <c r="K15" s="400">
        <v>5</v>
      </c>
      <c r="L15" s="807">
        <v>7579</v>
      </c>
      <c r="M15" s="400">
        <v>4.3</v>
      </c>
      <c r="N15" s="400">
        <v>34.793508378414039</v>
      </c>
      <c r="O15" s="400"/>
    </row>
    <row r="16" spans="1:19" ht="13" customHeight="1">
      <c r="A16" s="381" t="s">
        <v>76</v>
      </c>
      <c r="B16" s="271"/>
      <c r="C16" s="809">
        <v>934</v>
      </c>
      <c r="D16" s="403">
        <v>1.8000000000000007</v>
      </c>
      <c r="E16" s="809">
        <v>1573</v>
      </c>
      <c r="F16" s="403">
        <v>3.1000000000000005</v>
      </c>
      <c r="G16" s="403">
        <v>-40.623013350286072</v>
      </c>
      <c r="H16" s="403"/>
      <c r="I16" s="557"/>
      <c r="J16" s="809">
        <v>3155</v>
      </c>
      <c r="K16" s="403">
        <v>1.5999999999999979</v>
      </c>
      <c r="L16" s="809">
        <v>3996</v>
      </c>
      <c r="M16" s="403">
        <v>2.2000000000000002</v>
      </c>
      <c r="N16" s="403">
        <v>-21.04604604604604</v>
      </c>
      <c r="O16" s="403"/>
    </row>
    <row r="17" spans="1:16" ht="13" customHeight="1">
      <c r="A17" s="382" t="s">
        <v>180</v>
      </c>
      <c r="B17" s="271"/>
      <c r="C17" s="807">
        <v>11310</v>
      </c>
      <c r="D17" s="400">
        <v>20.5</v>
      </c>
      <c r="E17" s="807">
        <v>10812</v>
      </c>
      <c r="F17" s="400">
        <v>21.8</v>
      </c>
      <c r="G17" s="400">
        <v>4.6059933407325282</v>
      </c>
      <c r="H17" s="400">
        <v>-7.1230681478959053</v>
      </c>
      <c r="I17" s="554"/>
      <c r="J17" s="807">
        <v>39546</v>
      </c>
      <c r="K17" s="400">
        <v>19.399999999999999</v>
      </c>
      <c r="L17" s="807">
        <v>35495</v>
      </c>
      <c r="M17" s="400">
        <v>20</v>
      </c>
      <c r="N17" s="400">
        <v>11.412875052824333</v>
      </c>
      <c r="O17" s="400">
        <v>-3.1817885584350392</v>
      </c>
    </row>
    <row r="18" spans="1:16" s="351" customFormat="1" ht="13" customHeight="1" thickBot="1">
      <c r="A18" s="383" t="s">
        <v>18</v>
      </c>
      <c r="B18" s="367"/>
      <c r="C18" s="812">
        <v>4853.4373989724445</v>
      </c>
      <c r="D18" s="405"/>
      <c r="E18" s="813">
        <v>5163.7813631168137</v>
      </c>
      <c r="F18" s="407"/>
      <c r="G18" s="407">
        <v>-6.0100136377007285</v>
      </c>
      <c r="H18" s="407"/>
      <c r="I18" s="558"/>
      <c r="J18" s="812">
        <v>14611.598392948279</v>
      </c>
      <c r="K18" s="405"/>
      <c r="L18" s="813">
        <v>12391.136280457171</v>
      </c>
      <c r="M18" s="407"/>
      <c r="N18" s="407">
        <v>17.919761854230721</v>
      </c>
      <c r="O18" s="407"/>
      <c r="P18" s="349"/>
    </row>
    <row r="19" spans="1:16" ht="11.15" customHeight="1">
      <c r="A19" s="532"/>
      <c r="C19" s="394"/>
      <c r="D19" s="395"/>
      <c r="E19" s="394"/>
      <c r="F19" s="395"/>
      <c r="G19" s="395"/>
      <c r="H19" s="395"/>
      <c r="I19" s="559"/>
      <c r="J19" s="394"/>
      <c r="K19" s="395"/>
      <c r="L19" s="394"/>
      <c r="M19" s="395"/>
      <c r="N19" s="395"/>
      <c r="O19" s="414"/>
    </row>
    <row r="20" spans="1:16" ht="15" customHeight="1">
      <c r="A20" s="385" t="s">
        <v>24</v>
      </c>
      <c r="B20" s="363"/>
      <c r="C20" s="394"/>
      <c r="D20" s="395"/>
      <c r="E20" s="394"/>
      <c r="F20" s="395"/>
      <c r="G20" s="395"/>
      <c r="H20" s="395"/>
      <c r="I20" s="562"/>
      <c r="J20" s="394"/>
      <c r="K20" s="395"/>
      <c r="L20" s="394"/>
      <c r="M20" s="395"/>
      <c r="N20" s="395"/>
      <c r="O20" s="420"/>
    </row>
    <row r="21" spans="1:16" ht="13" customHeight="1">
      <c r="A21" s="832" t="s">
        <v>25</v>
      </c>
      <c r="B21" s="271"/>
      <c r="C21" s="563"/>
      <c r="D21" s="563"/>
      <c r="E21" s="563"/>
      <c r="F21" s="563"/>
      <c r="G21" s="563"/>
      <c r="H21" s="395"/>
      <c r="I21" s="564"/>
      <c r="J21" s="563"/>
      <c r="K21" s="563"/>
      <c r="L21" s="563"/>
      <c r="M21" s="563"/>
      <c r="N21" s="563"/>
      <c r="O21" s="420"/>
    </row>
    <row r="22" spans="1:16" ht="13" customHeight="1">
      <c r="A22" s="569" t="s">
        <v>26</v>
      </c>
      <c r="B22" s="349"/>
      <c r="C22" s="436">
        <v>495.08046287000002</v>
      </c>
      <c r="D22" s="396">
        <v>47.919999999999995</v>
      </c>
      <c r="E22" s="436">
        <v>502.1673394949101</v>
      </c>
      <c r="F22" s="396">
        <v>59.09</v>
      </c>
      <c r="G22" s="396">
        <v>-1.4112579746899057</v>
      </c>
      <c r="H22" s="396"/>
      <c r="I22" s="535"/>
      <c r="J22" s="436">
        <v>2017.9203098821649</v>
      </c>
      <c r="K22" s="396">
        <v>52.13</v>
      </c>
      <c r="L22" s="436">
        <v>2025.7088010272601</v>
      </c>
      <c r="M22" s="396">
        <v>60.66</v>
      </c>
      <c r="N22" s="396">
        <v>-0.38448226818906805</v>
      </c>
      <c r="O22" s="416"/>
    </row>
    <row r="23" spans="1:16" ht="13" customHeight="1">
      <c r="A23" s="570" t="s">
        <v>27</v>
      </c>
      <c r="B23" s="533"/>
      <c r="C23" s="425">
        <v>151.45423879009616</v>
      </c>
      <c r="D23" s="400">
        <v>14.66</v>
      </c>
      <c r="E23" s="425">
        <v>160.4114973925019</v>
      </c>
      <c r="F23" s="400">
        <v>18.87</v>
      </c>
      <c r="G23" s="400">
        <v>-5.5839255589571142</v>
      </c>
      <c r="H23" s="396"/>
      <c r="I23" s="535"/>
      <c r="J23" s="425">
        <v>535.16674641929978</v>
      </c>
      <c r="K23" s="400">
        <v>13.83</v>
      </c>
      <c r="L23" s="425">
        <v>659.24710256440596</v>
      </c>
      <c r="M23" s="400">
        <v>19.77</v>
      </c>
      <c r="N23" s="400">
        <v>-18.82152468512124</v>
      </c>
      <c r="O23" s="416"/>
    </row>
    <row r="24" spans="1:16" ht="13" customHeight="1">
      <c r="A24" s="855" t="s">
        <v>32</v>
      </c>
      <c r="B24" s="533"/>
      <c r="C24" s="436">
        <v>226.69956825400004</v>
      </c>
      <c r="D24" s="396">
        <v>21.94</v>
      </c>
      <c r="E24" s="436">
        <v>187.32221000000001</v>
      </c>
      <c r="F24" s="396">
        <v>22.04</v>
      </c>
      <c r="G24" s="396">
        <v>21.021190308399639</v>
      </c>
      <c r="H24" s="396"/>
      <c r="I24" s="535"/>
      <c r="J24" s="436">
        <v>765.1</v>
      </c>
      <c r="K24" s="396">
        <v>19.77</v>
      </c>
      <c r="L24" s="436">
        <v>649.13199999999995</v>
      </c>
      <c r="M24" s="396">
        <v>19.47</v>
      </c>
      <c r="N24" s="396">
        <v>17.865087532273872</v>
      </c>
      <c r="O24" s="416"/>
    </row>
    <row r="25" spans="1:16" ht="13" customHeight="1">
      <c r="A25" s="570" t="s">
        <v>174</v>
      </c>
      <c r="B25" s="533"/>
      <c r="C25" s="425">
        <v>160.087266</v>
      </c>
      <c r="D25" s="400">
        <v>15.49</v>
      </c>
      <c r="E25" s="425">
        <v>0</v>
      </c>
      <c r="F25" s="400">
        <v>0</v>
      </c>
      <c r="G25" s="400" t="s">
        <v>230</v>
      </c>
      <c r="H25" s="396"/>
      <c r="I25" s="535"/>
      <c r="J25" s="425">
        <v>552.42534516972364</v>
      </c>
      <c r="K25" s="400">
        <v>14.27</v>
      </c>
      <c r="L25" s="425">
        <v>0</v>
      </c>
      <c r="M25" s="400">
        <v>0</v>
      </c>
      <c r="N25" s="400" t="s">
        <v>230</v>
      </c>
      <c r="O25" s="416"/>
    </row>
    <row r="26" spans="1:16" ht="13" customHeight="1" thickBot="1">
      <c r="A26" s="656" t="s">
        <v>28</v>
      </c>
      <c r="B26" s="534"/>
      <c r="C26" s="856">
        <v>1033.4215359140962</v>
      </c>
      <c r="D26" s="405">
        <v>100.00999999999999</v>
      </c>
      <c r="E26" s="856">
        <v>849.90104688741201</v>
      </c>
      <c r="F26" s="405">
        <v>100</v>
      </c>
      <c r="G26" s="405">
        <v>21.593159544724692</v>
      </c>
      <c r="H26" s="396"/>
      <c r="I26" s="396"/>
      <c r="J26" s="856">
        <v>3870.6124014711882</v>
      </c>
      <c r="K26" s="405">
        <v>99.99</v>
      </c>
      <c r="L26" s="856">
        <v>3333.9879035916661</v>
      </c>
      <c r="M26" s="405">
        <v>99.999999999999986</v>
      </c>
      <c r="N26" s="405">
        <v>16.095574231130925</v>
      </c>
      <c r="O26" s="395"/>
    </row>
    <row r="27" spans="1:16" ht="11.15" customHeight="1">
      <c r="A27" s="350"/>
      <c r="B27" s="354"/>
      <c r="C27" s="436"/>
      <c r="D27" s="565"/>
      <c r="E27" s="436"/>
      <c r="F27" s="565"/>
      <c r="G27" s="396"/>
      <c r="H27" s="396"/>
      <c r="I27" s="396"/>
      <c r="J27" s="566"/>
      <c r="K27" s="567"/>
      <c r="L27" s="566"/>
      <c r="M27" s="567"/>
      <c r="N27" s="395"/>
      <c r="O27" s="395"/>
    </row>
    <row r="28" spans="1:16" ht="11.15" customHeight="1">
      <c r="A28" s="548"/>
      <c r="B28" s="350"/>
      <c r="C28" s="549"/>
      <c r="D28" s="550"/>
      <c r="E28" s="549"/>
      <c r="F28" s="353"/>
      <c r="G28" s="353"/>
      <c r="H28" s="353"/>
      <c r="I28" s="353"/>
      <c r="J28" s="352"/>
      <c r="K28" s="271"/>
      <c r="L28" s="551"/>
      <c r="M28" s="551"/>
      <c r="N28" s="271"/>
      <c r="O28" s="271"/>
    </row>
    <row r="29" spans="1:16" ht="20.149999999999999" customHeight="1">
      <c r="A29" s="910" t="s">
        <v>235</v>
      </c>
      <c r="B29" s="910"/>
      <c r="C29" s="910"/>
      <c r="D29" s="910"/>
      <c r="E29" s="910"/>
      <c r="F29" s="910"/>
      <c r="G29" s="910"/>
      <c r="H29" s="910"/>
      <c r="I29" s="910"/>
      <c r="J29" s="910"/>
      <c r="K29" s="910"/>
      <c r="L29" s="910"/>
      <c r="M29" s="910"/>
      <c r="N29" s="910"/>
      <c r="O29" s="910"/>
      <c r="P29" s="356"/>
    </row>
    <row r="30" spans="1:16" ht="11.15" customHeight="1">
      <c r="A30" s="935"/>
      <c r="B30" s="935"/>
      <c r="C30" s="935"/>
      <c r="D30" s="935"/>
      <c r="E30" s="935"/>
      <c r="F30" s="935"/>
      <c r="G30" s="935"/>
      <c r="H30" s="935"/>
      <c r="I30" s="935"/>
      <c r="J30" s="352"/>
      <c r="K30" s="271"/>
      <c r="L30" s="551"/>
      <c r="M30" s="551"/>
      <c r="N30" s="271"/>
      <c r="O30" s="271"/>
    </row>
    <row r="31" spans="1:16" ht="11.15" customHeight="1">
      <c r="A31" s="548"/>
      <c r="B31" s="350"/>
      <c r="C31" s="549"/>
      <c r="D31" s="550"/>
      <c r="E31" s="549"/>
      <c r="F31" s="353"/>
      <c r="G31" s="353"/>
      <c r="H31" s="353"/>
      <c r="I31" s="353"/>
      <c r="J31" s="352"/>
      <c r="K31" s="271"/>
      <c r="L31" s="551"/>
      <c r="M31" s="551"/>
      <c r="N31" s="271"/>
      <c r="O31" s="271"/>
    </row>
  </sheetData>
  <mergeCells count="7">
    <mergeCell ref="A30:I30"/>
    <mergeCell ref="C5:H5"/>
    <mergeCell ref="J5:O5"/>
    <mergeCell ref="A1:O1"/>
    <mergeCell ref="A2:O2"/>
    <mergeCell ref="A3:O3"/>
    <mergeCell ref="A29:O29"/>
  </mergeCells>
  <pageMargins left="0.19685039370078741" right="0.31496062992125984" top="0.78740157480314965" bottom="0.23622047244094491" header="0" footer="0"/>
  <pageSetup scale="6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2" r:id="rId4">
          <objectPr defaultSize="0" autoPict="0" r:id="rId5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zoomScaleSheetLayoutView="130" workbookViewId="0">
      <selection activeCell="A22" sqref="A22"/>
    </sheetView>
  </sheetViews>
  <sheetFormatPr defaultColWidth="9.81640625" defaultRowHeight="10.5"/>
  <cols>
    <col min="1" max="1" width="25.7265625" style="290" customWidth="1"/>
    <col min="2" max="2" width="1.7265625" style="269" customWidth="1"/>
    <col min="3" max="4" width="10.7265625" style="317" customWidth="1"/>
    <col min="5" max="5" width="14.7265625" style="317" hidden="1" customWidth="1"/>
    <col min="6" max="6" width="1.7265625" style="316" customWidth="1"/>
    <col min="7" max="8" width="10.7265625" style="317" customWidth="1"/>
    <col min="9" max="9" width="1.7265625" style="316" customWidth="1"/>
    <col min="10" max="11" width="10.7265625" style="317" customWidth="1"/>
    <col min="12" max="12" width="11.26953125" style="269" customWidth="1"/>
    <col min="13" max="13" width="18" style="269" customWidth="1"/>
    <col min="14" max="14" width="19" style="269" customWidth="1"/>
    <col min="15" max="15" width="13.54296875" style="264" customWidth="1"/>
    <col min="16" max="16384" width="9.81640625" style="264"/>
  </cols>
  <sheetData>
    <row r="1" spans="1:17" ht="11.15" customHeight="1">
      <c r="A1" s="937" t="s">
        <v>0</v>
      </c>
      <c r="B1" s="937"/>
      <c r="C1" s="937"/>
      <c r="D1" s="937"/>
      <c r="E1" s="937"/>
      <c r="F1" s="937"/>
      <c r="G1" s="937"/>
      <c r="H1" s="937"/>
      <c r="I1" s="937"/>
      <c r="J1" s="937"/>
      <c r="K1" s="937"/>
      <c r="L1" s="262"/>
      <c r="M1" s="263"/>
      <c r="N1" s="264"/>
      <c r="O1" s="265"/>
      <c r="P1" s="265"/>
      <c r="Q1" s="265"/>
    </row>
    <row r="2" spans="1:17" ht="11.15" customHeight="1">
      <c r="A2" s="938" t="s">
        <v>84</v>
      </c>
      <c r="B2" s="938"/>
      <c r="C2" s="938"/>
      <c r="D2" s="938"/>
      <c r="E2" s="938"/>
      <c r="F2" s="938"/>
      <c r="G2" s="938"/>
      <c r="H2" s="938"/>
      <c r="I2" s="938"/>
      <c r="J2" s="938"/>
      <c r="K2" s="938"/>
      <c r="L2" s="266"/>
      <c r="M2" s="267"/>
      <c r="N2" s="263"/>
      <c r="O2" s="268"/>
      <c r="P2" s="268"/>
      <c r="Q2" s="268"/>
    </row>
    <row r="3" spans="1:17" ht="11.1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7" ht="15" customHeight="1">
      <c r="A4" s="270"/>
      <c r="B4" s="270"/>
      <c r="C4" s="939" t="s">
        <v>85</v>
      </c>
      <c r="D4" s="939"/>
      <c r="E4" s="939"/>
      <c r="F4" s="273"/>
      <c r="G4" s="939" t="s">
        <v>227</v>
      </c>
      <c r="H4" s="939"/>
      <c r="I4" s="939"/>
      <c r="J4" s="939"/>
      <c r="K4" s="939"/>
    </row>
    <row r="5" spans="1:17" ht="15" customHeight="1">
      <c r="A5" s="273"/>
      <c r="B5" s="292"/>
      <c r="C5" s="830" t="s">
        <v>241</v>
      </c>
      <c r="D5" s="830" t="s">
        <v>242</v>
      </c>
      <c r="F5" s="293"/>
      <c r="G5" s="941" t="s">
        <v>243</v>
      </c>
      <c r="H5" s="940"/>
      <c r="I5" s="293"/>
      <c r="J5" s="940" t="s">
        <v>169</v>
      </c>
      <c r="K5" s="940"/>
    </row>
    <row r="6" spans="1:17" s="277" customFormat="1" ht="15" customHeight="1">
      <c r="A6" s="276"/>
      <c r="B6" s="453"/>
      <c r="E6" s="296"/>
      <c r="F6" s="297"/>
      <c r="G6" s="294" t="s">
        <v>86</v>
      </c>
      <c r="H6" s="294" t="s">
        <v>87</v>
      </c>
      <c r="I6" s="295"/>
      <c r="J6" s="294" t="s">
        <v>86</v>
      </c>
      <c r="K6" s="294" t="s">
        <v>87</v>
      </c>
      <c r="L6" s="276"/>
      <c r="M6" s="276"/>
      <c r="N6" s="276"/>
    </row>
    <row r="7" spans="1:17" ht="13" customHeight="1">
      <c r="A7" s="284" t="s">
        <v>29</v>
      </c>
      <c r="B7" s="454"/>
      <c r="C7" s="298">
        <v>2.4093659158770375E-2</v>
      </c>
      <c r="D7" s="298">
        <v>6.7730434908713999E-2</v>
      </c>
      <c r="E7" s="299">
        <v>2.2990445783960256E-2</v>
      </c>
      <c r="F7" s="300"/>
      <c r="G7" s="301">
        <v>19.735399999999998</v>
      </c>
      <c r="H7" s="302">
        <v>1</v>
      </c>
      <c r="I7" s="303"/>
      <c r="J7" s="301">
        <v>20.664000000000001</v>
      </c>
      <c r="K7" s="302">
        <v>1</v>
      </c>
    </row>
    <row r="8" spans="1:17" ht="13" customHeight="1">
      <c r="A8" s="285" t="s">
        <v>30</v>
      </c>
      <c r="B8" s="454"/>
      <c r="C8" s="304">
        <v>4.8304196689157308E-3</v>
      </c>
      <c r="D8" s="304">
        <v>4.0885764977777184E-2</v>
      </c>
      <c r="E8" s="304">
        <v>9.7781465084885166E-3</v>
      </c>
      <c r="F8" s="300"/>
      <c r="G8" s="305">
        <v>2984</v>
      </c>
      <c r="H8" s="306">
        <v>6.6137399463806965E-3</v>
      </c>
      <c r="I8" s="303"/>
      <c r="J8" s="307">
        <v>3000.71</v>
      </c>
      <c r="K8" s="306">
        <v>6.8863702257132486E-3</v>
      </c>
    </row>
    <row r="9" spans="1:17" ht="13" customHeight="1">
      <c r="A9" s="284" t="s">
        <v>31</v>
      </c>
      <c r="B9" s="454"/>
      <c r="C9" s="298">
        <v>2.2846488041695805</v>
      </c>
      <c r="D9" s="298">
        <v>20.554999999774321</v>
      </c>
      <c r="E9" s="299">
        <v>0.44760722163348077</v>
      </c>
      <c r="F9" s="300"/>
      <c r="G9" s="301">
        <v>22793.3</v>
      </c>
      <c r="H9" s="302">
        <v>8.6584215537021845E-4</v>
      </c>
      <c r="I9" s="303"/>
      <c r="J9" s="308">
        <v>673.76170000000002</v>
      </c>
      <c r="K9" s="302">
        <v>3.0669597277494402E-2</v>
      </c>
    </row>
    <row r="10" spans="1:17" ht="13" customHeight="1">
      <c r="A10" s="285" t="s">
        <v>32</v>
      </c>
      <c r="B10" s="454"/>
      <c r="C10" s="304">
        <v>1.1142131427212876E-2</v>
      </c>
      <c r="D10" s="304">
        <v>2.9474341079477329E-2</v>
      </c>
      <c r="E10" s="304"/>
      <c r="F10" s="300"/>
      <c r="G10" s="305">
        <v>3.3079999999999998</v>
      </c>
      <c r="H10" s="306">
        <v>5.9659613059250303</v>
      </c>
      <c r="I10" s="303"/>
      <c r="J10" s="307">
        <v>3.2591000000000001</v>
      </c>
      <c r="K10" s="306">
        <v>6.340400724126293</v>
      </c>
    </row>
    <row r="11" spans="1:17" ht="13" customHeight="1">
      <c r="A11" s="286" t="s">
        <v>33</v>
      </c>
      <c r="B11" s="455"/>
      <c r="C11" s="298">
        <v>6.5876005652882208E-2</v>
      </c>
      <c r="D11" s="298">
        <v>0.25039198606847712</v>
      </c>
      <c r="E11" s="299"/>
      <c r="F11" s="300"/>
      <c r="G11" s="301">
        <v>18.649000000000001</v>
      </c>
      <c r="H11" s="302">
        <v>1.058255134323556</v>
      </c>
      <c r="I11" s="303"/>
      <c r="J11" s="308">
        <v>15.89</v>
      </c>
      <c r="K11" s="302">
        <v>1.3004405286343612</v>
      </c>
    </row>
    <row r="12" spans="1:17" ht="13" customHeight="1">
      <c r="A12" s="287" t="s">
        <v>143</v>
      </c>
      <c r="B12" s="455"/>
      <c r="C12" s="304">
        <v>4.6582657039950792E-3</v>
      </c>
      <c r="D12" s="304">
        <v>2.2696269580377626E-2</v>
      </c>
      <c r="E12" s="304"/>
      <c r="F12" s="300"/>
      <c r="G12" s="305">
        <v>615.22</v>
      </c>
      <c r="H12" s="306">
        <v>3.2078606027112246E-2</v>
      </c>
      <c r="I12" s="303"/>
      <c r="J12" s="307">
        <v>667.29</v>
      </c>
      <c r="K12" s="306">
        <v>3.0967045812165628E-2</v>
      </c>
    </row>
    <row r="13" spans="1:17" ht="13" customHeight="1">
      <c r="A13" s="286" t="s">
        <v>174</v>
      </c>
      <c r="B13" s="455"/>
      <c r="C13" s="298">
        <v>1.2044647610301329E-2</v>
      </c>
      <c r="D13" s="298">
        <v>3.5816725288686957E-2</v>
      </c>
      <c r="E13" s="309"/>
      <c r="F13" s="310"/>
      <c r="G13" s="301">
        <v>49.923000000000002</v>
      </c>
      <c r="H13" s="302">
        <v>0.39531678785329405</v>
      </c>
      <c r="I13" s="303"/>
      <c r="J13" s="308">
        <v>49.813000000000002</v>
      </c>
      <c r="K13" s="302">
        <v>0.41483146969666551</v>
      </c>
    </row>
    <row r="14" spans="1:17" ht="13" customHeight="1" thickBot="1">
      <c r="A14" s="288" t="s">
        <v>88</v>
      </c>
      <c r="B14" s="456"/>
      <c r="C14" s="311">
        <v>6.9549003333237991E-3</v>
      </c>
      <c r="D14" s="311">
        <v>1.3821545913327293E-2</v>
      </c>
      <c r="E14" s="311"/>
      <c r="F14" s="312"/>
      <c r="G14" s="313">
        <v>0.83720713000000002</v>
      </c>
      <c r="H14" s="314">
        <v>23.5729000540165</v>
      </c>
      <c r="I14" s="315"/>
      <c r="J14" s="313">
        <v>0.94901740999999995</v>
      </c>
      <c r="K14" s="314">
        <v>21.77410001361303</v>
      </c>
    </row>
    <row r="15" spans="1:17" ht="11.15" customHeight="1">
      <c r="A15" s="275"/>
      <c r="B15" s="275"/>
      <c r="C15" s="278"/>
      <c r="D15" s="278"/>
      <c r="E15" s="279"/>
      <c r="F15" s="282"/>
      <c r="G15" s="280"/>
      <c r="H15" s="281"/>
      <c r="I15" s="283"/>
      <c r="J15" s="280"/>
      <c r="K15" s="281"/>
    </row>
    <row r="16" spans="1:17" ht="11.15" customHeight="1">
      <c r="A16" s="275"/>
      <c r="B16" s="275"/>
      <c r="C16" s="278"/>
      <c r="D16" s="278"/>
      <c r="E16" s="279"/>
      <c r="F16" s="282"/>
      <c r="G16" s="280"/>
      <c r="H16" s="281"/>
      <c r="I16" s="283"/>
      <c r="J16" s="280"/>
      <c r="K16" s="281"/>
    </row>
    <row r="17" spans="1:15" ht="11.15" customHeight="1">
      <c r="A17" s="936" t="s">
        <v>175</v>
      </c>
      <c r="B17" s="936"/>
      <c r="C17" s="936"/>
      <c r="D17" s="936"/>
      <c r="E17" s="936"/>
      <c r="F17" s="936"/>
      <c r="G17" s="936"/>
      <c r="H17" s="936"/>
      <c r="I17" s="936"/>
      <c r="J17" s="936"/>
      <c r="K17" s="936"/>
    </row>
    <row r="18" spans="1:15" ht="11.15" customHeight="1">
      <c r="A18" s="289"/>
      <c r="B18" s="271"/>
    </row>
    <row r="19" spans="1:15" ht="11.15" customHeight="1"/>
    <row r="20" spans="1:15" ht="11.15" customHeight="1"/>
    <row r="21" spans="1:15" ht="11.15" customHeight="1"/>
    <row r="22" spans="1:15" ht="11.15" customHeight="1"/>
    <row r="23" spans="1:15" ht="11.15" customHeight="1">
      <c r="O23" s="266"/>
    </row>
    <row r="24" spans="1:15" ht="11.15" customHeight="1">
      <c r="O24" s="266"/>
    </row>
    <row r="25" spans="1:15" ht="11.15" customHeight="1">
      <c r="O25" s="266"/>
    </row>
    <row r="26" spans="1:15" ht="11.15" customHeight="1"/>
    <row r="27" spans="1:15">
      <c r="A27" s="291"/>
      <c r="B27" s="272"/>
      <c r="C27" s="318"/>
    </row>
    <row r="29" spans="1:15">
      <c r="E29" s="316"/>
    </row>
    <row r="30" spans="1:15">
      <c r="A30" s="291"/>
      <c r="B30" s="272"/>
      <c r="C30" s="318"/>
    </row>
    <row r="31" spans="1:15">
      <c r="A31" s="291"/>
      <c r="B31" s="272"/>
      <c r="C31" s="318"/>
    </row>
    <row r="32" spans="1:15">
      <c r="A32" s="291"/>
      <c r="B32" s="272"/>
      <c r="C32" s="318"/>
    </row>
    <row r="33" spans="1:14">
      <c r="A33" s="291"/>
      <c r="B33" s="272"/>
      <c r="C33" s="318"/>
    </row>
    <row r="34" spans="1:14">
      <c r="G34" s="319"/>
    </row>
    <row r="35" spans="1:14">
      <c r="L35" s="266"/>
    </row>
    <row r="36" spans="1:14">
      <c r="L36" s="266"/>
      <c r="N36" s="274"/>
    </row>
    <row r="38" spans="1:14">
      <c r="G38" s="319"/>
    </row>
    <row r="39" spans="1:14">
      <c r="M39" s="264"/>
    </row>
    <row r="40" spans="1:14">
      <c r="M40" s="264"/>
      <c r="N40" s="266"/>
    </row>
    <row r="41" spans="1:14">
      <c r="M41" s="266"/>
      <c r="N41" s="266"/>
    </row>
    <row r="42" spans="1:14">
      <c r="M42" s="275"/>
      <c r="N42" s="266"/>
    </row>
    <row r="43" spans="1:14">
      <c r="M43" s="275"/>
      <c r="N43" s="275"/>
    </row>
    <row r="44" spans="1:14">
      <c r="M44" s="275"/>
      <c r="N44" s="275"/>
    </row>
    <row r="45" spans="1:14">
      <c r="M45" s="275"/>
      <c r="N45" s="275"/>
    </row>
    <row r="46" spans="1:14">
      <c r="M46" s="266"/>
      <c r="N46" s="275"/>
    </row>
    <row r="47" spans="1:14">
      <c r="A47" s="291"/>
      <c r="B47" s="272"/>
      <c r="C47" s="318"/>
      <c r="M47" s="266"/>
      <c r="N47" s="266"/>
    </row>
    <row r="48" spans="1:14">
      <c r="A48" s="291"/>
      <c r="B48" s="272"/>
      <c r="C48" s="318"/>
      <c r="M48" s="275"/>
      <c r="N48" s="266"/>
    </row>
    <row r="49" spans="1:14">
      <c r="A49" s="291"/>
      <c r="B49" s="272"/>
      <c r="C49" s="318"/>
      <c r="N49" s="275"/>
    </row>
  </sheetData>
  <mergeCells count="7">
    <mergeCell ref="A17:K17"/>
    <mergeCell ref="A1:K1"/>
    <mergeCell ref="A2:K2"/>
    <mergeCell ref="G4:K4"/>
    <mergeCell ref="C4:E4"/>
    <mergeCell ref="J5:K5"/>
    <mergeCell ref="G5:H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3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view="pageBreakPreview" topLeftCell="A6" zoomScale="60" workbookViewId="0">
      <pane xSplit="3" ySplit="23" topLeftCell="D29" activePane="bottomRight" state="frozen"/>
      <selection activeCell="A6" sqref="A6"/>
      <selection pane="topRight" activeCell="D6" sqref="D6"/>
      <selection pane="bottomLeft" activeCell="A29" sqref="A29"/>
      <selection pane="bottomRight" activeCell="M40" sqref="M40"/>
    </sheetView>
  </sheetViews>
  <sheetFormatPr defaultColWidth="9.81640625" defaultRowHeight="15.5" outlineLevelRow="1"/>
  <cols>
    <col min="1" max="1" width="57.7265625" style="2" bestFit="1" customWidth="1"/>
    <col min="2" max="2" width="1.54296875" style="6" customWidth="1"/>
    <col min="3" max="3" width="1.7265625" style="6" customWidth="1"/>
    <col min="4" max="4" width="13.26953125" style="6" bestFit="1" customWidth="1"/>
    <col min="5" max="5" width="13.26953125" style="2" bestFit="1" customWidth="1"/>
    <col min="6" max="6" width="12.54296875" style="6" bestFit="1" customWidth="1"/>
    <col min="7" max="7" width="6.1796875" style="2" customWidth="1"/>
    <col min="8" max="9" width="16.54296875" style="2" customWidth="1"/>
    <col min="10" max="10" width="16.54296875" style="2" hidden="1" customWidth="1"/>
    <col min="11" max="14" width="16.54296875" style="2" customWidth="1"/>
    <col min="15" max="15" width="5.1796875" style="2" customWidth="1"/>
    <col min="16" max="16" width="17.81640625" style="2" bestFit="1" customWidth="1"/>
    <col min="17" max="17" width="15.26953125" style="2" bestFit="1" customWidth="1"/>
    <col min="18" max="18" width="11.81640625" style="2" hidden="1" customWidth="1"/>
    <col min="19" max="21" width="14" style="2" bestFit="1" customWidth="1"/>
    <col min="22" max="22" width="11.81640625" style="2" customWidth="1"/>
    <col min="23" max="16384" width="9.81640625" style="2"/>
  </cols>
  <sheetData>
    <row r="1" spans="1:22" ht="15" customHeight="1">
      <c r="A1" s="917" t="s">
        <v>0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17"/>
      <c r="Q1" s="917"/>
      <c r="R1" s="917"/>
      <c r="S1" s="917"/>
      <c r="T1" s="917"/>
      <c r="U1" s="917"/>
      <c r="V1" s="917"/>
    </row>
    <row r="2" spans="1:22" ht="15" customHeight="1">
      <c r="A2" s="918" t="s">
        <v>1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</row>
    <row r="3" spans="1:22">
      <c r="A3" s="943" t="s">
        <v>91</v>
      </c>
      <c r="B3" s="943"/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943"/>
      <c r="Q3" s="943"/>
      <c r="R3" s="943"/>
      <c r="S3" s="943"/>
      <c r="T3" s="943"/>
      <c r="U3" s="943"/>
      <c r="V3" s="943"/>
    </row>
    <row r="4" spans="1:22">
      <c r="A4" s="921" t="s">
        <v>2</v>
      </c>
      <c r="B4" s="921"/>
      <c r="C4" s="921"/>
      <c r="D4" s="921"/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  <c r="P4" s="921"/>
      <c r="Q4" s="921"/>
      <c r="R4" s="921"/>
      <c r="S4" s="921"/>
      <c r="T4" s="921"/>
      <c r="U4" s="921"/>
      <c r="V4" s="921"/>
    </row>
    <row r="5" spans="1:22" s="189" customFormat="1" ht="18" customHeight="1">
      <c r="A5" s="15"/>
      <c r="B5" s="187"/>
      <c r="C5" s="188"/>
      <c r="D5" s="4"/>
      <c r="E5" s="83"/>
      <c r="F5" s="83"/>
      <c r="G5" s="83" t="s">
        <v>23</v>
      </c>
      <c r="H5" s="5"/>
      <c r="I5" s="83"/>
      <c r="J5" s="83"/>
      <c r="K5" s="83"/>
      <c r="L5" s="83"/>
      <c r="M5" s="83"/>
      <c r="N5" s="5"/>
      <c r="O5" s="5"/>
      <c r="P5" s="5"/>
      <c r="Q5" s="5"/>
      <c r="R5" s="5"/>
      <c r="S5" s="5"/>
      <c r="T5" s="5"/>
      <c r="U5" s="5"/>
      <c r="V5" s="5"/>
    </row>
    <row r="6" spans="1:22">
      <c r="A6" s="7"/>
      <c r="B6" s="8"/>
      <c r="C6" s="8"/>
      <c r="D6" s="190"/>
      <c r="E6" s="7"/>
      <c r="F6" s="8"/>
      <c r="G6" s="7"/>
    </row>
    <row r="7" spans="1:22" hidden="1">
      <c r="B7" s="11"/>
      <c r="C7" s="4"/>
      <c r="D7" s="932" t="s">
        <v>92</v>
      </c>
      <c r="E7" s="944"/>
      <c r="F7" s="944"/>
      <c r="G7" s="173"/>
      <c r="H7" s="942" t="s">
        <v>93</v>
      </c>
      <c r="I7" s="942"/>
      <c r="J7" s="942"/>
      <c r="K7" s="942"/>
      <c r="L7" s="942"/>
      <c r="M7" s="942"/>
      <c r="N7" s="942"/>
      <c r="P7" s="942" t="s">
        <v>94</v>
      </c>
      <c r="Q7" s="942"/>
      <c r="R7" s="942"/>
      <c r="S7" s="942"/>
      <c r="T7" s="942"/>
      <c r="U7" s="942"/>
      <c r="V7" s="942"/>
    </row>
    <row r="8" spans="1:22" hidden="1">
      <c r="B8" s="11"/>
      <c r="C8" s="4"/>
      <c r="D8" s="186"/>
      <c r="E8" s="191"/>
      <c r="F8" s="191"/>
      <c r="G8" s="173"/>
      <c r="H8" s="192" t="s">
        <v>0</v>
      </c>
      <c r="I8" s="192" t="s">
        <v>95</v>
      </c>
      <c r="J8" s="192" t="s">
        <v>0</v>
      </c>
      <c r="K8" s="192" t="s">
        <v>0</v>
      </c>
      <c r="L8" s="192"/>
      <c r="M8" s="192"/>
      <c r="N8" s="192" t="s">
        <v>96</v>
      </c>
      <c r="P8" s="192" t="s">
        <v>0</v>
      </c>
      <c r="Q8" s="192" t="s">
        <v>95</v>
      </c>
      <c r="R8" s="192" t="s">
        <v>0</v>
      </c>
      <c r="S8" s="192" t="s">
        <v>0</v>
      </c>
      <c r="T8" s="192" t="s">
        <v>0</v>
      </c>
      <c r="U8" s="192" t="s">
        <v>0</v>
      </c>
      <c r="V8" s="192" t="s">
        <v>96</v>
      </c>
    </row>
    <row r="9" spans="1:22" ht="18" hidden="1" customHeight="1" thickBot="1">
      <c r="A9" s="14"/>
      <c r="B9" s="15"/>
      <c r="C9" s="18"/>
      <c r="D9" s="193">
        <v>2007</v>
      </c>
      <c r="E9" s="193">
        <v>2006</v>
      </c>
      <c r="F9" s="193" t="s">
        <v>81</v>
      </c>
      <c r="G9" s="173"/>
      <c r="H9" s="194" t="s">
        <v>97</v>
      </c>
      <c r="I9" s="194" t="s">
        <v>0</v>
      </c>
      <c r="J9" s="194" t="s">
        <v>98</v>
      </c>
      <c r="K9" s="194" t="s">
        <v>99</v>
      </c>
      <c r="L9" s="194"/>
      <c r="M9" s="194"/>
      <c r="N9" s="194" t="s">
        <v>0</v>
      </c>
      <c r="P9" s="194" t="s">
        <v>97</v>
      </c>
      <c r="Q9" s="194" t="s">
        <v>0</v>
      </c>
      <c r="R9" s="194" t="s">
        <v>98</v>
      </c>
      <c r="S9" s="194" t="s">
        <v>99</v>
      </c>
      <c r="T9" s="194" t="s">
        <v>99</v>
      </c>
      <c r="U9" s="194" t="s">
        <v>99</v>
      </c>
      <c r="V9" s="194" t="s">
        <v>0</v>
      </c>
    </row>
    <row r="10" spans="1:22" hidden="1">
      <c r="A10" s="21"/>
      <c r="B10" s="21"/>
      <c r="C10" s="24"/>
      <c r="D10" s="22"/>
      <c r="E10" s="22"/>
      <c r="F10" s="24"/>
      <c r="G10" s="4"/>
      <c r="H10" s="26"/>
      <c r="I10" s="26"/>
      <c r="J10" s="26"/>
      <c r="K10" s="26"/>
      <c r="L10" s="26"/>
      <c r="M10" s="26"/>
      <c r="N10" s="26"/>
      <c r="P10" s="54"/>
      <c r="Q10" s="54"/>
      <c r="R10" s="54"/>
      <c r="S10" s="54"/>
      <c r="T10" s="54"/>
      <c r="U10" s="54"/>
      <c r="V10" s="54"/>
    </row>
    <row r="11" spans="1:22" hidden="1">
      <c r="A11" s="27"/>
      <c r="B11" s="21"/>
      <c r="C11" s="24"/>
      <c r="D11" s="28"/>
      <c r="E11" s="28"/>
      <c r="F11" s="195"/>
      <c r="G11" s="173"/>
      <c r="H11" s="196"/>
      <c r="I11" s="196"/>
      <c r="J11" s="196"/>
      <c r="K11" s="196"/>
      <c r="L11" s="196"/>
      <c r="M11" s="196"/>
      <c r="N11" s="196"/>
      <c r="O11" s="20"/>
      <c r="P11" s="197"/>
      <c r="Q11" s="197"/>
      <c r="R11" s="197"/>
      <c r="S11" s="197"/>
      <c r="T11" s="197"/>
      <c r="U11" s="197"/>
      <c r="V11" s="197"/>
    </row>
    <row r="12" spans="1:22" hidden="1">
      <c r="A12" s="25" t="s">
        <v>5</v>
      </c>
      <c r="B12" s="25"/>
      <c r="C12" s="24"/>
      <c r="D12" s="52" t="e">
        <f>#REF!</f>
        <v>#REF!</v>
      </c>
      <c r="E12" s="52" t="e">
        <f>#REF!</f>
        <v>#REF!</v>
      </c>
      <c r="F12" s="24" t="e">
        <f t="shared" ref="F12:F17" si="0">+ROUND(((+D12/E12)-1)*100,1)</f>
        <v>#REF!</v>
      </c>
      <c r="G12" s="23"/>
      <c r="H12" s="26" t="e">
        <f t="shared" ref="H12:H17" si="1">+D12-E12</f>
        <v>#REF!</v>
      </c>
      <c r="I12" s="26">
        <v>8196</v>
      </c>
      <c r="J12" s="26" t="e">
        <f>#REF!-#REF!</f>
        <v>#REF!</v>
      </c>
      <c r="K12" s="26">
        <v>2838</v>
      </c>
      <c r="L12" s="26"/>
      <c r="M12" s="26"/>
      <c r="N12" s="26" t="e">
        <f t="shared" ref="N12:N17" si="2">+H12-I12-J12-K12</f>
        <v>#REF!</v>
      </c>
      <c r="O12" s="20"/>
      <c r="P12" s="54" t="e">
        <f t="shared" ref="P12:Q19" si="3">+ROUND(H12/$H12,3)</f>
        <v>#REF!</v>
      </c>
      <c r="Q12" s="54" t="e">
        <f>+ROUND(I12/$H12,3)</f>
        <v>#REF!</v>
      </c>
      <c r="R12" s="54" t="e">
        <f>+ROUND(J12/$H12,3)</f>
        <v>#REF!</v>
      </c>
      <c r="S12" s="54" t="e">
        <f t="shared" ref="S12:V17" si="4">+ROUND(K12/$H12,3)</f>
        <v>#REF!</v>
      </c>
      <c r="T12" s="54" t="e">
        <f t="shared" si="4"/>
        <v>#REF!</v>
      </c>
      <c r="U12" s="54" t="e">
        <f t="shared" si="4"/>
        <v>#REF!</v>
      </c>
      <c r="V12" s="54" t="e">
        <f t="shared" si="4"/>
        <v>#REF!</v>
      </c>
    </row>
    <row r="13" spans="1:22" hidden="1">
      <c r="A13" s="34" t="s">
        <v>6</v>
      </c>
      <c r="B13" s="25"/>
      <c r="C13" s="24"/>
      <c r="D13" s="52" t="e">
        <f>#REF!</f>
        <v>#REF!</v>
      </c>
      <c r="E13" s="52" t="e">
        <f>#REF!</f>
        <v>#REF!</v>
      </c>
      <c r="F13" s="195" t="e">
        <f t="shared" si="0"/>
        <v>#REF!</v>
      </c>
      <c r="G13" s="23"/>
      <c r="H13" s="26" t="e">
        <f t="shared" si="1"/>
        <v>#REF!</v>
      </c>
      <c r="I13" s="26">
        <v>4679</v>
      </c>
      <c r="J13" s="26" t="e">
        <f>#REF!-#REF!</f>
        <v>#REF!</v>
      </c>
      <c r="K13" s="26">
        <v>1657</v>
      </c>
      <c r="L13" s="26"/>
      <c r="M13" s="26"/>
      <c r="N13" s="26" t="e">
        <f t="shared" si="2"/>
        <v>#REF!</v>
      </c>
      <c r="P13" s="54" t="e">
        <f t="shared" si="3"/>
        <v>#REF!</v>
      </c>
      <c r="Q13" s="54" t="e">
        <f t="shared" si="3"/>
        <v>#REF!</v>
      </c>
      <c r="R13" s="54" t="e">
        <f t="shared" ref="R13:R19" si="5">+ROUND(J13/$H13,3)</f>
        <v>#REF!</v>
      </c>
      <c r="S13" s="54" t="e">
        <f t="shared" si="4"/>
        <v>#REF!</v>
      </c>
      <c r="T13" s="54" t="e">
        <f t="shared" si="4"/>
        <v>#REF!</v>
      </c>
      <c r="U13" s="54" t="e">
        <f t="shared" si="4"/>
        <v>#REF!</v>
      </c>
      <c r="V13" s="54" t="e">
        <f t="shared" si="4"/>
        <v>#REF!</v>
      </c>
    </row>
    <row r="14" spans="1:22" hidden="1">
      <c r="A14" s="34" t="s">
        <v>7</v>
      </c>
      <c r="B14" s="25"/>
      <c r="C14" s="24"/>
      <c r="D14" s="198" t="e">
        <f>+D12-D13</f>
        <v>#REF!</v>
      </c>
      <c r="E14" s="198" t="e">
        <f>+E12-E13</f>
        <v>#REF!</v>
      </c>
      <c r="F14" s="195" t="e">
        <f t="shared" si="0"/>
        <v>#REF!</v>
      </c>
      <c r="G14" s="38"/>
      <c r="H14" s="199" t="e">
        <f t="shared" si="1"/>
        <v>#REF!</v>
      </c>
      <c r="I14" s="199">
        <v>3517</v>
      </c>
      <c r="J14" s="199" t="e">
        <f>#REF!-#REF!</f>
        <v>#REF!</v>
      </c>
      <c r="K14" s="199">
        <v>1181</v>
      </c>
      <c r="L14" s="199"/>
      <c r="M14" s="199"/>
      <c r="N14" s="199" t="e">
        <f t="shared" si="2"/>
        <v>#REF!</v>
      </c>
      <c r="P14" s="200" t="e">
        <f t="shared" si="3"/>
        <v>#REF!</v>
      </c>
      <c r="Q14" s="200" t="e">
        <f t="shared" si="3"/>
        <v>#REF!</v>
      </c>
      <c r="R14" s="200" t="e">
        <f t="shared" si="5"/>
        <v>#REF!</v>
      </c>
      <c r="S14" s="200" t="e">
        <f t="shared" si="4"/>
        <v>#REF!</v>
      </c>
      <c r="T14" s="200" t="e">
        <f t="shared" si="4"/>
        <v>#REF!</v>
      </c>
      <c r="U14" s="200" t="e">
        <f t="shared" si="4"/>
        <v>#REF!</v>
      </c>
      <c r="V14" s="200" t="e">
        <f t="shared" si="4"/>
        <v>#REF!</v>
      </c>
    </row>
    <row r="15" spans="1:22" hidden="1">
      <c r="A15" s="21" t="s">
        <v>100</v>
      </c>
      <c r="B15" s="21"/>
      <c r="C15" s="24"/>
      <c r="D15" s="52" t="e">
        <f>#REF!</f>
        <v>#REF!</v>
      </c>
      <c r="E15" s="52" t="e">
        <f>#REF!</f>
        <v>#REF!</v>
      </c>
      <c r="F15" s="24" t="e">
        <f t="shared" si="0"/>
        <v>#REF!</v>
      </c>
      <c r="G15" s="23"/>
      <c r="H15" s="26" t="e">
        <f t="shared" si="1"/>
        <v>#REF!</v>
      </c>
      <c r="I15" s="26">
        <v>82</v>
      </c>
      <c r="J15" s="26" t="e">
        <f>#REF!-#REF!</f>
        <v>#REF!</v>
      </c>
      <c r="K15" s="26">
        <v>72</v>
      </c>
      <c r="L15" s="26"/>
      <c r="M15" s="26"/>
      <c r="N15" s="26" t="e">
        <f t="shared" si="2"/>
        <v>#REF!</v>
      </c>
      <c r="P15" s="54" t="e">
        <f t="shared" si="3"/>
        <v>#REF!</v>
      </c>
      <c r="Q15" s="54" t="e">
        <f t="shared" si="3"/>
        <v>#REF!</v>
      </c>
      <c r="R15" s="54" t="e">
        <f t="shared" si="5"/>
        <v>#REF!</v>
      </c>
      <c r="S15" s="54" t="e">
        <f t="shared" si="4"/>
        <v>#REF!</v>
      </c>
      <c r="T15" s="54" t="e">
        <f t="shared" si="4"/>
        <v>#REF!</v>
      </c>
      <c r="U15" s="54" t="e">
        <f t="shared" si="4"/>
        <v>#REF!</v>
      </c>
      <c r="V15" s="54" t="e">
        <f t="shared" si="4"/>
        <v>#REF!</v>
      </c>
    </row>
    <row r="16" spans="1:22" hidden="1">
      <c r="A16" s="27" t="s">
        <v>101</v>
      </c>
      <c r="B16" s="21"/>
      <c r="C16" s="24"/>
      <c r="D16" s="160" t="e">
        <f>#REF!</f>
        <v>#REF!</v>
      </c>
      <c r="E16" s="160" t="e">
        <f>#REF!</f>
        <v>#REF!</v>
      </c>
      <c r="F16" s="195" t="e">
        <f t="shared" si="0"/>
        <v>#REF!</v>
      </c>
      <c r="G16" s="38"/>
      <c r="H16" s="26" t="e">
        <f t="shared" si="1"/>
        <v>#REF!</v>
      </c>
      <c r="I16" s="26">
        <v>2018</v>
      </c>
      <c r="J16" s="26" t="e">
        <f>#REF!-#REF!</f>
        <v>#REF!</v>
      </c>
      <c r="K16" s="26">
        <v>798</v>
      </c>
      <c r="L16" s="26"/>
      <c r="M16" s="26"/>
      <c r="N16" s="26" t="e">
        <f t="shared" si="2"/>
        <v>#REF!</v>
      </c>
      <c r="P16" s="54" t="e">
        <f t="shared" si="3"/>
        <v>#REF!</v>
      </c>
      <c r="Q16" s="54" t="e">
        <f t="shared" si="3"/>
        <v>#REF!</v>
      </c>
      <c r="R16" s="54" t="e">
        <f t="shared" si="5"/>
        <v>#REF!</v>
      </c>
      <c r="S16" s="54" t="e">
        <f t="shared" si="4"/>
        <v>#REF!</v>
      </c>
      <c r="T16" s="54" t="e">
        <f t="shared" si="4"/>
        <v>#REF!</v>
      </c>
      <c r="U16" s="54" t="e">
        <f t="shared" si="4"/>
        <v>#REF!</v>
      </c>
      <c r="V16" s="54" t="e">
        <f t="shared" si="4"/>
        <v>#REF!</v>
      </c>
    </row>
    <row r="17" spans="1:22" hidden="1">
      <c r="A17" s="201" t="s">
        <v>102</v>
      </c>
      <c r="B17" s="25"/>
      <c r="C17" s="24"/>
      <c r="D17" s="198" t="e">
        <f>+D15+D16</f>
        <v>#REF!</v>
      </c>
      <c r="E17" s="198" t="e">
        <f>+E15+E16</f>
        <v>#REF!</v>
      </c>
      <c r="F17" s="202" t="e">
        <f t="shared" si="0"/>
        <v>#REF!</v>
      </c>
      <c r="G17" s="38"/>
      <c r="H17" s="199" t="e">
        <f t="shared" si="1"/>
        <v>#REF!</v>
      </c>
      <c r="I17" s="199">
        <v>2100</v>
      </c>
      <c r="J17" s="199" t="e">
        <f>#REF!-#REF!</f>
        <v>#REF!</v>
      </c>
      <c r="K17" s="199">
        <v>870</v>
      </c>
      <c r="L17" s="199"/>
      <c r="M17" s="199"/>
      <c r="N17" s="199" t="e">
        <f t="shared" si="2"/>
        <v>#REF!</v>
      </c>
      <c r="P17" s="200" t="e">
        <f t="shared" si="3"/>
        <v>#REF!</v>
      </c>
      <c r="Q17" s="200" t="e">
        <f t="shared" si="3"/>
        <v>#REF!</v>
      </c>
      <c r="R17" s="200" t="e">
        <f t="shared" si="5"/>
        <v>#REF!</v>
      </c>
      <c r="S17" s="200" t="e">
        <f t="shared" si="4"/>
        <v>#REF!</v>
      </c>
      <c r="T17" s="200" t="e">
        <f t="shared" si="4"/>
        <v>#REF!</v>
      </c>
      <c r="U17" s="200" t="e">
        <f t="shared" si="4"/>
        <v>#REF!</v>
      </c>
      <c r="V17" s="200" t="e">
        <f t="shared" si="4"/>
        <v>#REF!</v>
      </c>
    </row>
    <row r="18" spans="1:22" hidden="1">
      <c r="A18" s="82" t="s">
        <v>103</v>
      </c>
      <c r="D18" s="203" t="e">
        <f>D14-D17</f>
        <v>#REF!</v>
      </c>
      <c r="E18" s="203" t="e">
        <f>E14-E17</f>
        <v>#REF!</v>
      </c>
      <c r="F18" s="202" t="e">
        <f>+ROUND(((+D18/E18)-1)*100,1)</f>
        <v>#REF!</v>
      </c>
      <c r="H18" s="199" t="e">
        <f>H14-H17</f>
        <v>#REF!</v>
      </c>
      <c r="I18" s="199">
        <f>I14-I17</f>
        <v>1417</v>
      </c>
      <c r="J18" s="199" t="e">
        <f>J14-J17</f>
        <v>#REF!</v>
      </c>
      <c r="K18" s="199">
        <f>K14-K17</f>
        <v>311</v>
      </c>
      <c r="L18" s="199"/>
      <c r="M18" s="199"/>
      <c r="N18" s="199" t="e">
        <f>N14-N17</f>
        <v>#REF!</v>
      </c>
      <c r="P18" s="200" t="e">
        <f t="shared" si="3"/>
        <v>#REF!</v>
      </c>
      <c r="Q18" s="200" t="e">
        <f t="shared" si="3"/>
        <v>#REF!</v>
      </c>
      <c r="R18" s="200" t="e">
        <f t="shared" si="5"/>
        <v>#REF!</v>
      </c>
      <c r="S18" s="200" t="e">
        <f>+ROUND(K18/$H18,3)-0.001</f>
        <v>#REF!</v>
      </c>
      <c r="T18" s="200" t="e">
        <f>+ROUND(L18/$H18,3)-0.001</f>
        <v>#REF!</v>
      </c>
      <c r="U18" s="200" t="e">
        <f>+ROUND(M18/$H18,3)-0.001</f>
        <v>#REF!</v>
      </c>
      <c r="V18" s="200" t="e">
        <f>+ROUND(N18/$H18,3)</f>
        <v>#REF!</v>
      </c>
    </row>
    <row r="19" spans="1:22" hidden="1">
      <c r="A19" s="6" t="s">
        <v>17</v>
      </c>
      <c r="D19" s="52" t="e">
        <f>#REF!</f>
        <v>#REF!</v>
      </c>
      <c r="E19" s="52" t="e">
        <f>#REF!</f>
        <v>#REF!</v>
      </c>
      <c r="F19" s="24" t="e">
        <f>+ROUND(((+D19/E19)-1)*100,1)</f>
        <v>#REF!</v>
      </c>
      <c r="H19" s="26" t="e">
        <f>+D19-E19</f>
        <v>#REF!</v>
      </c>
      <c r="I19" s="26">
        <v>196</v>
      </c>
      <c r="J19" s="26" t="e">
        <f>#REF!-#REF!</f>
        <v>#REF!</v>
      </c>
      <c r="K19" s="26">
        <v>46</v>
      </c>
      <c r="L19" s="26"/>
      <c r="M19" s="26"/>
      <c r="N19" s="26" t="e">
        <f>+H19-I19-J19-K19</f>
        <v>#REF!</v>
      </c>
      <c r="P19" s="54" t="e">
        <f t="shared" si="3"/>
        <v>#REF!</v>
      </c>
      <c r="Q19" s="54" t="e">
        <f>+ROUND(I19/$H19,3)</f>
        <v>#REF!</v>
      </c>
      <c r="R19" s="54" t="e">
        <f t="shared" si="5"/>
        <v>#REF!</v>
      </c>
      <c r="S19" s="54" t="e">
        <f>+ROUND(K19/$H19,3)</f>
        <v>#REF!</v>
      </c>
      <c r="T19" s="54" t="e">
        <f>+ROUND(L19/$H19,3)</f>
        <v>#REF!</v>
      </c>
      <c r="U19" s="54" t="e">
        <f>+ROUND(M19/$H19,3)</f>
        <v>#REF!</v>
      </c>
      <c r="V19" s="54" t="e">
        <f>+ROUND(N19/$H19,3)</f>
        <v>#REF!</v>
      </c>
    </row>
    <row r="20" spans="1:22" hidden="1">
      <c r="A20" s="34" t="s">
        <v>104</v>
      </c>
      <c r="D20" s="160" t="e">
        <f>#REF!</f>
        <v>#REF!</v>
      </c>
      <c r="E20" s="160" t="e">
        <f>#REF!</f>
        <v>#REF!</v>
      </c>
      <c r="F20" s="195" t="e">
        <f>+ROUND(((+D20/E20)-1)*100,1)</f>
        <v>#REF!</v>
      </c>
      <c r="H20" s="26" t="e">
        <f>+D20-E20</f>
        <v>#REF!</v>
      </c>
      <c r="I20" s="26">
        <v>34</v>
      </c>
      <c r="J20" s="26" t="e">
        <f>#REF!-#REF!</f>
        <v>#REF!</v>
      </c>
      <c r="K20" s="26">
        <v>21</v>
      </c>
      <c r="L20" s="26"/>
      <c r="M20" s="26"/>
      <c r="N20" s="26" t="e">
        <f>+H20-I20-J20-K20</f>
        <v>#REF!</v>
      </c>
      <c r="P20" s="204" t="s">
        <v>105</v>
      </c>
      <c r="Q20" s="204" t="s">
        <v>105</v>
      </c>
      <c r="R20" s="204" t="s">
        <v>105</v>
      </c>
      <c r="S20" s="204" t="s">
        <v>105</v>
      </c>
      <c r="T20" s="204" t="s">
        <v>105</v>
      </c>
      <c r="U20" s="204" t="s">
        <v>105</v>
      </c>
      <c r="V20" s="204" t="s">
        <v>105</v>
      </c>
    </row>
    <row r="21" spans="1:22" s="6" customFormat="1" hidden="1">
      <c r="A21" s="74" t="s">
        <v>106</v>
      </c>
      <c r="D21" s="198" t="e">
        <f>D18+D19+D20</f>
        <v>#REF!</v>
      </c>
      <c r="E21" s="198" t="e">
        <f>E18+E19+E20</f>
        <v>#REF!</v>
      </c>
      <c r="F21" s="202" t="e">
        <f>+ROUND(((+D21/E21)-1)*100,1)</f>
        <v>#REF!</v>
      </c>
      <c r="H21" s="199" t="e">
        <f>+D21-E21</f>
        <v>#REF!</v>
      </c>
      <c r="I21" s="199">
        <f>I18+I19+I20</f>
        <v>1647</v>
      </c>
      <c r="J21" s="199" t="e">
        <f>J18+J19+J20</f>
        <v>#REF!</v>
      </c>
      <c r="K21" s="199">
        <f>K18+K19+K20</f>
        <v>378</v>
      </c>
      <c r="L21" s="199"/>
      <c r="M21" s="199"/>
      <c r="N21" s="199" t="e">
        <f>+H21-I21-J21-K21</f>
        <v>#REF!</v>
      </c>
      <c r="P21" s="200" t="e">
        <f>+ROUND(H21/$H21,3)</f>
        <v>#REF!</v>
      </c>
      <c r="Q21" s="200" t="e">
        <f>+ROUND(I21/$H21,3)</f>
        <v>#REF!</v>
      </c>
      <c r="R21" s="200" t="e">
        <f>+ROUND(J21/$H21,3)</f>
        <v>#REF!</v>
      </c>
      <c r="S21" s="200" t="e">
        <f t="shared" ref="S21:V21" si="6">+ROUND(K21/$H21,3)</f>
        <v>#REF!</v>
      </c>
      <c r="T21" s="200" t="e">
        <f t="shared" si="6"/>
        <v>#REF!</v>
      </c>
      <c r="U21" s="200" t="e">
        <f t="shared" si="6"/>
        <v>#REF!</v>
      </c>
      <c r="V21" s="200" t="e">
        <f t="shared" si="6"/>
        <v>#REF!</v>
      </c>
    </row>
    <row r="22" spans="1:22" hidden="1">
      <c r="I22" s="26"/>
    </row>
    <row r="23" spans="1:22" hidden="1">
      <c r="I23" s="26"/>
    </row>
    <row r="24" spans="1:22" hidden="1">
      <c r="I24" s="26"/>
    </row>
    <row r="25" spans="1:22" hidden="1"/>
    <row r="26" spans="1:22">
      <c r="B26" s="11"/>
      <c r="C26" s="4"/>
      <c r="D26" s="932" t="s">
        <v>137</v>
      </c>
      <c r="E26" s="932"/>
      <c r="F26" s="932"/>
      <c r="G26" s="173"/>
      <c r="H26" s="942" t="s">
        <v>93</v>
      </c>
      <c r="I26" s="942"/>
      <c r="J26" s="942"/>
      <c r="K26" s="942"/>
      <c r="L26" s="942"/>
      <c r="M26" s="942"/>
      <c r="N26" s="942"/>
      <c r="P26" s="942" t="s">
        <v>107</v>
      </c>
      <c r="Q26" s="942"/>
      <c r="R26" s="942"/>
      <c r="S26" s="942"/>
      <c r="T26" s="942"/>
      <c r="U26" s="942"/>
      <c r="V26" s="942"/>
    </row>
    <row r="27" spans="1:22">
      <c r="B27" s="11"/>
      <c r="C27" s="4"/>
      <c r="D27" s="186"/>
      <c r="E27" s="191"/>
      <c r="F27" s="191"/>
      <c r="G27" s="173"/>
      <c r="H27" s="192" t="s">
        <v>0</v>
      </c>
      <c r="I27" s="192" t="s">
        <v>95</v>
      </c>
      <c r="J27" s="192" t="s">
        <v>0</v>
      </c>
      <c r="K27" s="192" t="s">
        <v>0</v>
      </c>
      <c r="L27" s="192" t="s">
        <v>0</v>
      </c>
      <c r="M27" s="192" t="s">
        <v>0</v>
      </c>
      <c r="N27" s="192" t="s">
        <v>96</v>
      </c>
      <c r="P27" s="192" t="s">
        <v>0</v>
      </c>
      <c r="Q27" s="192" t="s">
        <v>95</v>
      </c>
      <c r="R27" s="192" t="s">
        <v>0</v>
      </c>
      <c r="S27" s="192" t="s">
        <v>0</v>
      </c>
      <c r="T27" s="192" t="s">
        <v>0</v>
      </c>
      <c r="U27" s="192" t="s">
        <v>0</v>
      </c>
      <c r="V27" s="192" t="s">
        <v>96</v>
      </c>
    </row>
    <row r="28" spans="1:22" ht="16" thickBot="1">
      <c r="A28" s="14"/>
      <c r="B28" s="15"/>
      <c r="C28" s="18"/>
      <c r="D28" s="193">
        <v>2015</v>
      </c>
      <c r="E28" s="193">
        <f>D28-1</f>
        <v>2014</v>
      </c>
      <c r="F28" s="193" t="s">
        <v>81</v>
      </c>
      <c r="G28" s="173"/>
      <c r="H28" s="194" t="s">
        <v>97</v>
      </c>
      <c r="I28" s="194" t="s">
        <v>0</v>
      </c>
      <c r="J28" s="194" t="s">
        <v>98</v>
      </c>
      <c r="K28" s="194" t="s">
        <v>99</v>
      </c>
      <c r="L28" s="194" t="s">
        <v>108</v>
      </c>
      <c r="M28" s="210" t="s">
        <v>109</v>
      </c>
      <c r="N28" s="194" t="s">
        <v>0</v>
      </c>
      <c r="P28" s="194" t="s">
        <v>97</v>
      </c>
      <c r="Q28" s="194" t="s">
        <v>0</v>
      </c>
      <c r="R28" s="194" t="s">
        <v>98</v>
      </c>
      <c r="S28" s="194" t="s">
        <v>99</v>
      </c>
      <c r="T28" s="194" t="s">
        <v>108</v>
      </c>
      <c r="U28" s="194" t="s">
        <v>109</v>
      </c>
      <c r="V28" s="194" t="s">
        <v>0</v>
      </c>
    </row>
    <row r="29" spans="1:22">
      <c r="A29" s="25" t="s">
        <v>5</v>
      </c>
      <c r="B29" s="25"/>
      <c r="C29" s="24">
        <f>C31-C28-C30</f>
        <v>0</v>
      </c>
      <c r="D29" s="52">
        <f>+'Consolidado Resultados'!C7</f>
        <v>122502</v>
      </c>
      <c r="E29" s="52">
        <f>+'Consolidado Resultados'!E7</f>
        <v>109907</v>
      </c>
      <c r="F29" s="24">
        <f>+ROUND(((+D29/E29)-1)*100,1)</f>
        <v>11.5</v>
      </c>
      <c r="G29" s="23"/>
      <c r="H29" s="26">
        <f t="shared" ref="H29:H35" si="7">+D29-E29</f>
        <v>12595</v>
      </c>
      <c r="I29" s="26">
        <f>+'Coca-Cola FEMSA'!C8-'Coca-Cola FEMSA'!E8</f>
        <v>5742</v>
      </c>
      <c r="J29" s="26"/>
      <c r="K29" s="26" t="e">
        <f>+#REF!-#REF!</f>
        <v>#REF!</v>
      </c>
      <c r="L29" s="118">
        <v>685</v>
      </c>
      <c r="M29" s="118">
        <v>285.95</v>
      </c>
      <c r="N29" s="26" t="e">
        <f t="shared" ref="N29:N35" si="8">+H29-I29-J29-K29-L29-M29</f>
        <v>#REF!</v>
      </c>
      <c r="O29" s="20"/>
      <c r="P29" s="54">
        <f t="shared" ref="P29:Q33" si="9">+ROUND(H29/$H29,3)</f>
        <v>1</v>
      </c>
      <c r="Q29" s="54">
        <f t="shared" si="9"/>
        <v>0.45600000000000002</v>
      </c>
      <c r="R29" s="54"/>
      <c r="S29" s="54" t="e">
        <f t="shared" ref="S29:V40" si="10">+ROUND(K29/$H29,3)</f>
        <v>#REF!</v>
      </c>
      <c r="T29" s="54">
        <f t="shared" si="10"/>
        <v>5.3999999999999999E-2</v>
      </c>
      <c r="U29" s="54">
        <f t="shared" si="10"/>
        <v>2.3E-2</v>
      </c>
      <c r="V29" s="54" t="e">
        <f t="shared" si="10"/>
        <v>#REF!</v>
      </c>
    </row>
    <row r="30" spans="1:22">
      <c r="A30" s="34" t="s">
        <v>6</v>
      </c>
      <c r="B30" s="25"/>
      <c r="C30" s="24"/>
      <c r="D30" s="52">
        <f>+'Consolidado Resultados'!C8</f>
        <v>74788</v>
      </c>
      <c r="E30" s="52">
        <f>+'Consolidado Resultados'!E8</f>
        <v>67908</v>
      </c>
      <c r="F30" s="195">
        <f t="shared" ref="F30:F40" si="11">+ROUND(((+D30/E30)-1)*100,1)</f>
        <v>10.1</v>
      </c>
      <c r="G30" s="23"/>
      <c r="H30" s="26">
        <f t="shared" si="7"/>
        <v>6880</v>
      </c>
      <c r="I30" s="26">
        <f>+'Coca-Cola FEMSA'!C9-'Coca-Cola FEMSA'!E9</f>
        <v>3066</v>
      </c>
      <c r="J30" s="26"/>
      <c r="K30" s="26" t="e">
        <f>+#REF!-#REF!</f>
        <v>#REF!</v>
      </c>
      <c r="L30" s="118">
        <v>696</v>
      </c>
      <c r="M30" s="118">
        <v>208.45</v>
      </c>
      <c r="N30" s="26" t="e">
        <f t="shared" si="8"/>
        <v>#REF!</v>
      </c>
      <c r="P30" s="54">
        <f t="shared" si="9"/>
        <v>1</v>
      </c>
      <c r="Q30" s="54">
        <f t="shared" si="9"/>
        <v>0.44600000000000001</v>
      </c>
      <c r="R30" s="54"/>
      <c r="S30" s="54" t="e">
        <f t="shared" si="10"/>
        <v>#REF!</v>
      </c>
      <c r="T30" s="54">
        <f t="shared" si="10"/>
        <v>0.10100000000000001</v>
      </c>
      <c r="U30" s="54">
        <f t="shared" si="10"/>
        <v>0.03</v>
      </c>
      <c r="V30" s="54" t="e">
        <f t="shared" si="10"/>
        <v>#REF!</v>
      </c>
    </row>
    <row r="31" spans="1:22">
      <c r="A31" s="34" t="s">
        <v>7</v>
      </c>
      <c r="B31" s="25"/>
      <c r="C31" s="24"/>
      <c r="D31" s="198">
        <f>+'Consolidado Resultados'!C9</f>
        <v>47714</v>
      </c>
      <c r="E31" s="198">
        <f>+'Consolidado Resultados'!E9</f>
        <v>41999</v>
      </c>
      <c r="F31" s="195">
        <f t="shared" si="11"/>
        <v>13.6</v>
      </c>
      <c r="G31" s="38"/>
      <c r="H31" s="199">
        <f t="shared" si="7"/>
        <v>5715</v>
      </c>
      <c r="I31" s="199">
        <f>+'Coca-Cola FEMSA'!C10-'Coca-Cola FEMSA'!E10</f>
        <v>2675</v>
      </c>
      <c r="J31" s="199"/>
      <c r="K31" s="199" t="e">
        <f>+#REF!-#REF!</f>
        <v>#REF!</v>
      </c>
      <c r="L31" s="229">
        <f>+L29-L30</f>
        <v>-11</v>
      </c>
      <c r="M31" s="229">
        <f>+M29-M30</f>
        <v>77.5</v>
      </c>
      <c r="N31" s="199" t="e">
        <f t="shared" si="8"/>
        <v>#REF!</v>
      </c>
      <c r="P31" s="200">
        <f t="shared" si="9"/>
        <v>1</v>
      </c>
      <c r="Q31" s="200">
        <f t="shared" si="9"/>
        <v>0.46800000000000003</v>
      </c>
      <c r="R31" s="200"/>
      <c r="S31" s="200" t="e">
        <f t="shared" si="10"/>
        <v>#REF!</v>
      </c>
      <c r="T31" s="200">
        <f t="shared" si="10"/>
        <v>-2E-3</v>
      </c>
      <c r="U31" s="200">
        <f t="shared" si="10"/>
        <v>1.4E-2</v>
      </c>
      <c r="V31" s="200" t="e">
        <f t="shared" si="10"/>
        <v>#REF!</v>
      </c>
    </row>
    <row r="32" spans="1:22">
      <c r="A32" s="21" t="s">
        <v>100</v>
      </c>
      <c r="B32" s="21"/>
      <c r="C32" s="24"/>
      <c r="D32" s="52">
        <f>+'Consolidado Resultados'!C10</f>
        <v>4594</v>
      </c>
      <c r="E32" s="52">
        <f>+'Consolidado Resultados'!E10</f>
        <v>3849</v>
      </c>
      <c r="F32" s="24">
        <f t="shared" si="11"/>
        <v>19.399999999999999</v>
      </c>
      <c r="G32" s="23"/>
      <c r="H32" s="26">
        <f t="shared" si="7"/>
        <v>745</v>
      </c>
      <c r="I32" s="26">
        <f>+'Coca-Cola FEMSA'!C11-'Coca-Cola FEMSA'!E11</f>
        <v>348</v>
      </c>
      <c r="J32" s="26"/>
      <c r="K32" s="26" t="e">
        <f>+#REF!-#REF!</f>
        <v>#REF!</v>
      </c>
      <c r="L32" s="118">
        <v>15</v>
      </c>
      <c r="M32" s="118">
        <v>6.0780000000000003</v>
      </c>
      <c r="N32" s="26" t="e">
        <f t="shared" si="8"/>
        <v>#REF!</v>
      </c>
      <c r="P32" s="54">
        <f t="shared" si="9"/>
        <v>1</v>
      </c>
      <c r="Q32" s="54">
        <f t="shared" si="9"/>
        <v>0.46700000000000003</v>
      </c>
      <c r="R32" s="54"/>
      <c r="S32" s="54" t="e">
        <f t="shared" si="10"/>
        <v>#REF!</v>
      </c>
      <c r="T32" s="54">
        <f t="shared" si="10"/>
        <v>0.02</v>
      </c>
      <c r="U32" s="54">
        <f t="shared" si="10"/>
        <v>8.0000000000000002E-3</v>
      </c>
      <c r="V32" s="54" t="e">
        <f t="shared" si="10"/>
        <v>#REF!</v>
      </c>
    </row>
    <row r="33" spans="1:22" s="6" customFormat="1">
      <c r="A33" s="21" t="s">
        <v>101</v>
      </c>
      <c r="B33" s="21"/>
      <c r="C33" s="24"/>
      <c r="D33" s="52">
        <f>+'Consolidado Resultados'!C11</f>
        <v>29407</v>
      </c>
      <c r="E33" s="52">
        <f>+'Consolidado Resultados'!E11</f>
        <v>25997</v>
      </c>
      <c r="F33" s="24">
        <f t="shared" si="11"/>
        <v>13.1</v>
      </c>
      <c r="G33" s="38"/>
      <c r="H33" s="26">
        <f t="shared" si="7"/>
        <v>3410</v>
      </c>
      <c r="I33" s="26">
        <f>+'Coca-Cola FEMSA'!C12-'Coca-Cola FEMSA'!E12</f>
        <v>1758.8369531515382</v>
      </c>
      <c r="J33" s="26"/>
      <c r="K33" s="26" t="e">
        <f>+#REF!-#REF!</f>
        <v>#REF!</v>
      </c>
      <c r="L33" s="118">
        <v>0</v>
      </c>
      <c r="M33" s="118">
        <v>21.24</v>
      </c>
      <c r="N33" s="26" t="e">
        <f t="shared" si="8"/>
        <v>#REF!</v>
      </c>
      <c r="P33" s="54">
        <f t="shared" si="9"/>
        <v>1</v>
      </c>
      <c r="Q33" s="54">
        <f t="shared" si="9"/>
        <v>0.51600000000000001</v>
      </c>
      <c r="R33" s="54"/>
      <c r="S33" s="54" t="e">
        <f t="shared" si="10"/>
        <v>#REF!</v>
      </c>
      <c r="T33" s="54">
        <f t="shared" si="10"/>
        <v>0</v>
      </c>
      <c r="U33" s="54">
        <f t="shared" si="10"/>
        <v>6.0000000000000001E-3</v>
      </c>
      <c r="V33" s="54" t="e">
        <f t="shared" si="10"/>
        <v>#REF!</v>
      </c>
    </row>
    <row r="34" spans="1:22" outlineLevel="1">
      <c r="A34" s="25" t="s">
        <v>74</v>
      </c>
      <c r="B34" s="21"/>
      <c r="C34" s="24"/>
      <c r="D34" s="52" t="e">
        <f>+'Consolidado Resultados'!#REF!</f>
        <v>#REF!</v>
      </c>
      <c r="E34" s="52" t="e">
        <f>+'Consolidado Resultados'!#REF!</f>
        <v>#REF!</v>
      </c>
      <c r="F34" s="213" t="e">
        <f>IF((((D34/E34)-1)*100)&gt;=100,"N.A.",(IF((((D34/E34)-1)*100)&lt;=-100,"N.A.",(((D34/E34)-1)*100))))</f>
        <v>#REF!</v>
      </c>
      <c r="G34" s="38"/>
      <c r="H34" s="26" t="e">
        <f t="shared" si="7"/>
        <v>#REF!</v>
      </c>
      <c r="I34" s="26" t="e">
        <f>+'Coca-Cola FEMSA'!#REF!-'Coca-Cola FEMSA'!#REF!</f>
        <v>#REF!</v>
      </c>
      <c r="J34" s="26"/>
      <c r="K34" s="26"/>
      <c r="L34" s="118"/>
      <c r="M34" s="118">
        <v>0</v>
      </c>
      <c r="N34" s="26" t="e">
        <f t="shared" si="8"/>
        <v>#REF!</v>
      </c>
      <c r="P34" s="54" t="e">
        <f t="shared" ref="P34:P36" si="12">+ROUND(H34/$H34,3)</f>
        <v>#REF!</v>
      </c>
      <c r="Q34" s="54" t="e">
        <f t="shared" ref="Q34:Q36" si="13">+ROUND(I34/$H34,3)</f>
        <v>#REF!</v>
      </c>
      <c r="R34" s="54"/>
      <c r="S34" s="54" t="e">
        <f t="shared" ref="S34:S36" si="14">+ROUND(K34/$H34,3)</f>
        <v>#REF!</v>
      </c>
      <c r="T34" s="54" t="e">
        <f t="shared" ref="T34:T36" si="15">+ROUND(L34/$H34,3)</f>
        <v>#REF!</v>
      </c>
      <c r="U34" s="54" t="e">
        <f t="shared" ref="U34:U36" si="16">+ROUND(M34/$H34,3)</f>
        <v>#REF!</v>
      </c>
      <c r="V34" s="54" t="e">
        <f t="shared" ref="V34:V36" si="17">+ROUND(N34/$H34,3)</f>
        <v>#REF!</v>
      </c>
    </row>
    <row r="35" spans="1:22" outlineLevel="1">
      <c r="A35" s="25" t="s">
        <v>69</v>
      </c>
      <c r="B35" s="21"/>
      <c r="C35" s="24"/>
      <c r="D35" s="52" t="e">
        <f>+'Consolidado Resultados'!#REF!</f>
        <v>#REF!</v>
      </c>
      <c r="E35" s="52" t="e">
        <f>+'Consolidado Resultados'!#REF!</f>
        <v>#REF!</v>
      </c>
      <c r="F35" s="213" t="e">
        <f>IF((((D35/E35)-1)*100)&gt;=100,"N.A.",(IF((((D35/E35)-1)*100)&lt;=-100,"N.A.",(((D35/E35)-1)*100))))</f>
        <v>#REF!</v>
      </c>
      <c r="G35" s="38"/>
      <c r="H35" s="26" t="e">
        <f t="shared" si="7"/>
        <v>#REF!</v>
      </c>
      <c r="I35" s="26" t="e">
        <f>+'Coca-Cola FEMSA'!#REF!-'Coca-Cola FEMSA'!#REF!</f>
        <v>#REF!</v>
      </c>
      <c r="J35" s="26"/>
      <c r="K35" s="26" t="e">
        <f>+#REF!-#REF!</f>
        <v>#REF!</v>
      </c>
      <c r="L35" s="118">
        <v>-4</v>
      </c>
      <c r="M35" s="118">
        <v>7.14</v>
      </c>
      <c r="N35" s="26" t="e">
        <f t="shared" si="8"/>
        <v>#REF!</v>
      </c>
      <c r="P35" s="54" t="e">
        <f t="shared" si="12"/>
        <v>#REF!</v>
      </c>
      <c r="Q35" s="54" t="e">
        <f t="shared" si="13"/>
        <v>#REF!</v>
      </c>
      <c r="R35" s="54"/>
      <c r="S35" s="54" t="e">
        <f t="shared" si="14"/>
        <v>#REF!</v>
      </c>
      <c r="T35" s="54" t="e">
        <f t="shared" si="15"/>
        <v>#REF!</v>
      </c>
      <c r="U35" s="54" t="e">
        <f t="shared" si="16"/>
        <v>#REF!</v>
      </c>
      <c r="V35" s="54" t="e">
        <f t="shared" si="17"/>
        <v>#REF!</v>
      </c>
    </row>
    <row r="36" spans="1:22" ht="17.5">
      <c r="A36" s="25" t="s">
        <v>82</v>
      </c>
      <c r="B36" s="21"/>
      <c r="C36" s="24"/>
      <c r="D36" s="52">
        <f>+'Consolidado Resultados'!C12</f>
        <v>695</v>
      </c>
      <c r="E36" s="52">
        <f>+'Consolidado Resultados'!E12</f>
        <v>475</v>
      </c>
      <c r="F36" s="24">
        <f>IF((((D36/E36)-1)*100)&gt;=100,"N.A.",(IF((((D36/E36)-1)*100)&lt;=-100,"N.A.",(((D36/E36)-1)*100))))</f>
        <v>46.31578947368422</v>
      </c>
      <c r="G36" s="38"/>
      <c r="H36" s="26" t="e">
        <f>+H34-H35</f>
        <v>#REF!</v>
      </c>
      <c r="I36" s="26" t="e">
        <f>+I34-I35</f>
        <v>#REF!</v>
      </c>
      <c r="J36" s="26"/>
      <c r="K36" s="26" t="e">
        <f>+K34-K35</f>
        <v>#REF!</v>
      </c>
      <c r="L36" s="118">
        <f>+L34-L35</f>
        <v>4</v>
      </c>
      <c r="M36" s="118">
        <v>7.14</v>
      </c>
      <c r="N36" s="26" t="e">
        <f>+N34-N35</f>
        <v>#REF!</v>
      </c>
      <c r="P36" s="54" t="e">
        <f t="shared" si="12"/>
        <v>#REF!</v>
      </c>
      <c r="Q36" s="54" t="e">
        <f t="shared" si="13"/>
        <v>#REF!</v>
      </c>
      <c r="R36" s="54"/>
      <c r="S36" s="54" t="e">
        <f t="shared" si="14"/>
        <v>#REF!</v>
      </c>
      <c r="T36" s="54" t="e">
        <f t="shared" si="15"/>
        <v>#REF!</v>
      </c>
      <c r="U36" s="54" t="e">
        <f t="shared" si="16"/>
        <v>#REF!</v>
      </c>
      <c r="V36" s="54" t="e">
        <f t="shared" si="17"/>
        <v>#REF!</v>
      </c>
    </row>
    <row r="37" spans="1:22">
      <c r="A37" s="43" t="s">
        <v>110</v>
      </c>
      <c r="D37" s="203">
        <f>+'Consolidado Resultados'!C13</f>
        <v>13018</v>
      </c>
      <c r="E37" s="203">
        <f>+'Consolidado Resultados'!E13</f>
        <v>11678</v>
      </c>
      <c r="F37" s="202">
        <f t="shared" si="11"/>
        <v>11.5</v>
      </c>
      <c r="H37" s="199">
        <f>+D37-E37</f>
        <v>1340</v>
      </c>
      <c r="I37" s="199">
        <f>+'Coca-Cola FEMSA'!C14-'Coca-Cola FEMSA'!E14</f>
        <v>417</v>
      </c>
      <c r="J37" s="199"/>
      <c r="K37" s="199" t="e">
        <f>+#REF!-#REF!</f>
        <v>#REF!</v>
      </c>
      <c r="L37" s="229">
        <v>-21</v>
      </c>
      <c r="M37" s="229">
        <v>43.042000000000002</v>
      </c>
      <c r="N37" s="199" t="e">
        <f>+H37-I37-J37-K37-L37-M37</f>
        <v>#REF!</v>
      </c>
      <c r="P37" s="200">
        <f t="shared" ref="P37:Q40" si="18">+ROUND(H37/$H37,3)</f>
        <v>1</v>
      </c>
      <c r="Q37" s="200">
        <f t="shared" si="18"/>
        <v>0.311</v>
      </c>
      <c r="R37" s="200"/>
      <c r="S37" s="200" t="e">
        <f t="shared" si="10"/>
        <v>#REF!</v>
      </c>
      <c r="T37" s="200">
        <f t="shared" si="10"/>
        <v>-1.6E-2</v>
      </c>
      <c r="U37" s="200">
        <f t="shared" si="10"/>
        <v>3.2000000000000001E-2</v>
      </c>
      <c r="V37" s="200" t="e">
        <f>+ROUND(N37/$H37,3)</f>
        <v>#REF!</v>
      </c>
    </row>
    <row r="38" spans="1:22">
      <c r="A38" s="6" t="s">
        <v>17</v>
      </c>
      <c r="D38" s="52">
        <f>+'Consolidado Resultados'!C30</f>
        <v>4229</v>
      </c>
      <c r="E38" s="52">
        <f>+'Consolidado Resultados'!E30</f>
        <v>3192</v>
      </c>
      <c r="F38" s="24">
        <f t="shared" si="11"/>
        <v>32.5</v>
      </c>
      <c r="H38" s="26">
        <f>+D38-E38</f>
        <v>1037</v>
      </c>
      <c r="I38" s="26">
        <f>+'Coca-Cola FEMSA'!C15-'Coca-Cola FEMSA'!E15</f>
        <v>719</v>
      </c>
      <c r="J38" s="26"/>
      <c r="K38" s="26" t="e">
        <f>+#REF!-#REF!</f>
        <v>#REF!</v>
      </c>
      <c r="L38" s="118">
        <v>40</v>
      </c>
      <c r="M38" s="118">
        <v>-0.127</v>
      </c>
      <c r="N38" s="26" t="e">
        <f>+H38-I38-J38-K38-L38-M38</f>
        <v>#REF!</v>
      </c>
      <c r="P38" s="54">
        <f t="shared" si="18"/>
        <v>1</v>
      </c>
      <c r="Q38" s="54">
        <f t="shared" si="18"/>
        <v>0.69299999999999995</v>
      </c>
      <c r="R38" s="54"/>
      <c r="S38" s="54" t="e">
        <f t="shared" si="10"/>
        <v>#REF!</v>
      </c>
      <c r="T38" s="54">
        <f t="shared" si="10"/>
        <v>3.9E-2</v>
      </c>
      <c r="U38" s="54">
        <f t="shared" si="10"/>
        <v>0</v>
      </c>
      <c r="V38" s="54" t="e">
        <f>+ROUND(N38/$H38,3)</f>
        <v>#REF!</v>
      </c>
    </row>
    <row r="39" spans="1:22">
      <c r="A39" s="34" t="s">
        <v>104</v>
      </c>
      <c r="D39" s="160">
        <f>+'Consolidado Resultados'!C31</f>
        <v>1298</v>
      </c>
      <c r="E39" s="160">
        <f>+'Consolidado Resultados'!E31</f>
        <v>2322</v>
      </c>
      <c r="F39" s="195">
        <f t="shared" si="11"/>
        <v>-44.1</v>
      </c>
      <c r="H39" s="26">
        <f>+D39-E39</f>
        <v>-1024</v>
      </c>
      <c r="I39" s="26">
        <f>+'Coca-Cola FEMSA'!C16-'Coca-Cola FEMSA'!E16</f>
        <v>-639</v>
      </c>
      <c r="J39" s="26"/>
      <c r="K39" s="26" t="e">
        <f>+#REF!-#REF!</f>
        <v>#REF!</v>
      </c>
      <c r="L39" s="118">
        <v>11</v>
      </c>
      <c r="M39" s="118">
        <v>7.1130000000000004</v>
      </c>
      <c r="N39" s="26" t="e">
        <f>+H39-I39-J39-K39-L39-M39</f>
        <v>#REF!</v>
      </c>
      <c r="P39" s="54">
        <f t="shared" si="18"/>
        <v>1</v>
      </c>
      <c r="Q39" s="54">
        <f t="shared" si="18"/>
        <v>0.624</v>
      </c>
      <c r="R39" s="54"/>
      <c r="S39" s="54" t="e">
        <f t="shared" si="10"/>
        <v>#REF!</v>
      </c>
      <c r="T39" s="54">
        <f t="shared" si="10"/>
        <v>-1.0999999999999999E-2</v>
      </c>
      <c r="U39" s="54">
        <f t="shared" si="10"/>
        <v>-7.0000000000000001E-3</v>
      </c>
      <c r="V39" s="54" t="e">
        <f>+ROUND(N39/$H39,3)</f>
        <v>#REF!</v>
      </c>
    </row>
    <row r="40" spans="1:22" s="6" customFormat="1">
      <c r="A40" s="74" t="s">
        <v>106</v>
      </c>
      <c r="D40" s="198">
        <f>D37+D38+D39</f>
        <v>18545</v>
      </c>
      <c r="E40" s="198">
        <f>E37+E38+E39</f>
        <v>17192</v>
      </c>
      <c r="F40" s="202">
        <f t="shared" si="11"/>
        <v>7.9</v>
      </c>
      <c r="H40" s="205">
        <f>H37+H38+H39</f>
        <v>1353</v>
      </c>
      <c r="I40" s="205">
        <f>I37+I38+I39</f>
        <v>497</v>
      </c>
      <c r="J40" s="199"/>
      <c r="K40" s="199" t="e">
        <f>K37+K38+K39</f>
        <v>#REF!</v>
      </c>
      <c r="L40" s="229">
        <f>+L37+L38+L39</f>
        <v>30</v>
      </c>
      <c r="M40" s="229">
        <f>+M37+M38+M39</f>
        <v>50.027999999999999</v>
      </c>
      <c r="N40" s="199" t="e">
        <f>+H40-I40-J40-K40-L40-M40</f>
        <v>#REF!</v>
      </c>
      <c r="P40" s="200">
        <f t="shared" si="18"/>
        <v>1</v>
      </c>
      <c r="Q40" s="200">
        <f t="shared" si="18"/>
        <v>0.36699999999999999</v>
      </c>
      <c r="R40" s="200"/>
      <c r="S40" s="200" t="e">
        <f t="shared" si="10"/>
        <v>#REF!</v>
      </c>
      <c r="T40" s="200">
        <f t="shared" si="10"/>
        <v>2.1999999999999999E-2</v>
      </c>
      <c r="U40" s="200">
        <f t="shared" si="10"/>
        <v>3.6999999999999998E-2</v>
      </c>
      <c r="V40" s="200" t="e">
        <f>+ROUND(N40/$H40,3)</f>
        <v>#REF!</v>
      </c>
    </row>
    <row r="41" spans="1:22" s="6" customFormat="1">
      <c r="A41" s="21"/>
      <c r="H41" s="228">
        <f>+H38+H39</f>
        <v>13</v>
      </c>
      <c r="I41" s="228">
        <f t="shared" ref="I41:N41" si="19">+I38+I39</f>
        <v>80</v>
      </c>
      <c r="J41" s="228">
        <f t="shared" si="19"/>
        <v>0</v>
      </c>
      <c r="K41" s="228" t="e">
        <f t="shared" si="19"/>
        <v>#REF!</v>
      </c>
      <c r="L41" s="228">
        <f t="shared" si="19"/>
        <v>51</v>
      </c>
      <c r="M41" s="228">
        <f t="shared" si="19"/>
        <v>6.9860000000000007</v>
      </c>
      <c r="N41" s="228" t="e">
        <f t="shared" si="19"/>
        <v>#REF!</v>
      </c>
      <c r="Q41" s="84"/>
      <c r="S41" s="84"/>
      <c r="T41" s="84"/>
      <c r="U41" s="84"/>
    </row>
    <row r="42" spans="1:22" s="6" customFormat="1">
      <c r="A42" s="21"/>
      <c r="I42" s="26"/>
      <c r="K42" s="26"/>
      <c r="L42" s="26"/>
      <c r="M42" s="26"/>
      <c r="Q42" s="84"/>
      <c r="S42" s="84"/>
      <c r="T42" s="84"/>
      <c r="U42" s="84"/>
    </row>
    <row r="43" spans="1:22" s="6" customFormat="1">
      <c r="A43" s="25"/>
      <c r="I43" s="26"/>
      <c r="Q43" s="84"/>
      <c r="S43" s="84"/>
      <c r="T43" s="84"/>
      <c r="U43" s="84"/>
    </row>
    <row r="44" spans="1:22" s="6" customFormat="1">
      <c r="A44" s="25"/>
      <c r="D44" s="66"/>
      <c r="E44" s="66"/>
      <c r="F44" s="66"/>
      <c r="I44" s="26"/>
      <c r="Q44" s="84"/>
      <c r="S44" s="84"/>
      <c r="T44" s="84"/>
      <c r="U44" s="84"/>
    </row>
    <row r="45" spans="1:22" s="6" customFormat="1">
      <c r="A45" s="25"/>
      <c r="D45" s="66"/>
      <c r="E45" s="66"/>
      <c r="F45" s="66"/>
      <c r="I45" s="26"/>
      <c r="Q45" s="84"/>
      <c r="S45" s="84"/>
      <c r="T45" s="84"/>
      <c r="U45" s="84"/>
    </row>
    <row r="46" spans="1:22" s="6" customFormat="1">
      <c r="A46" s="21"/>
      <c r="I46" s="26"/>
      <c r="Q46" s="84"/>
      <c r="S46" s="84"/>
      <c r="T46" s="84"/>
      <c r="U46" s="84"/>
    </row>
    <row r="47" spans="1:22" s="6" customFormat="1">
      <c r="A47" s="21"/>
      <c r="I47" s="26"/>
      <c r="Q47" s="84"/>
      <c r="S47" s="84"/>
      <c r="T47" s="84"/>
      <c r="U47" s="84"/>
    </row>
    <row r="48" spans="1:22" s="6" customFormat="1">
      <c r="A48" s="25"/>
      <c r="I48" s="26"/>
      <c r="Q48" s="84"/>
      <c r="S48" s="84"/>
      <c r="T48" s="84"/>
      <c r="U48" s="84"/>
    </row>
    <row r="49" spans="1:21" s="6" customFormat="1">
      <c r="A49" s="79"/>
      <c r="I49" s="42"/>
      <c r="Q49" s="84"/>
      <c r="S49" s="84"/>
      <c r="T49" s="84"/>
      <c r="U49" s="84"/>
    </row>
  </sheetData>
  <mergeCells count="10">
    <mergeCell ref="D26:F26"/>
    <mergeCell ref="H26:N26"/>
    <mergeCell ref="P26:V26"/>
    <mergeCell ref="A1:V1"/>
    <mergeCell ref="A2:V2"/>
    <mergeCell ref="A3:V3"/>
    <mergeCell ref="A4:V4"/>
    <mergeCell ref="D7:F7"/>
    <mergeCell ref="H7:N7"/>
    <mergeCell ref="P7:V7"/>
  </mergeCells>
  <pageMargins left="1" right="0.24" top="1" bottom="1" header="0.5" footer="0.5"/>
  <pageSetup scale="4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20481" r:id="rId4"/>
      </mc:Fallback>
    </mc:AlternateContent>
    <mc:AlternateContent xmlns:mc="http://schemas.openxmlformats.org/markup-compatibility/2006">
      <mc:Choice Requires="x14">
        <oleObject progId="Word.Picture.8" shapeId="20482" r:id="rId6">
          <objectPr defaultSize="0" autoPict="0" r:id="rId5">
            <anchor moveWithCells="1" siz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0</xdr:colOff>
                <xdr:row>20</xdr:row>
                <xdr:rowOff>0</xdr:rowOff>
              </to>
            </anchor>
          </objectPr>
        </oleObject>
      </mc:Choice>
      <mc:Fallback>
        <oleObject progId="Word.Picture.8" shapeId="20482" r:id="rId6"/>
      </mc:Fallback>
    </mc:AlternateContent>
    <mc:AlternateContent xmlns:mc="http://schemas.openxmlformats.org/markup-compatibility/2006">
      <mc:Choice Requires="x14">
        <oleObject progId="Word.Picture.8" shapeId="20483" r:id="rId7">
          <objectPr defaultSize="0" autoPict="0" r:id="rId5">
            <anchor moveWithCells="1" siz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20483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5"/>
  <sheetViews>
    <sheetView showGridLines="0" topLeftCell="A33" zoomScale="106" zoomScaleNormal="106" zoomScaleSheetLayoutView="70" workbookViewId="0">
      <selection sqref="A1:H52"/>
    </sheetView>
  </sheetViews>
  <sheetFormatPr defaultColWidth="9.81640625" defaultRowHeight="10.5"/>
  <cols>
    <col min="1" max="1" width="31.7265625" style="714" customWidth="1"/>
    <col min="2" max="2" width="1.7265625" style="725" customWidth="1"/>
    <col min="3" max="3" width="10.81640625" style="722" customWidth="1"/>
    <col min="4" max="5" width="10.7265625" style="722" customWidth="1"/>
    <col min="6" max="6" width="10.54296875" style="722" customWidth="1"/>
    <col min="7" max="7" width="10.7265625" style="723" customWidth="1"/>
    <col min="8" max="8" width="10.7265625" style="724" customWidth="1"/>
    <col min="9" max="9" width="9.81640625" style="723" customWidth="1"/>
    <col min="10" max="12" width="14.7265625" style="672" customWidth="1"/>
    <col min="13" max="14" width="6.7265625" style="258" bestFit="1" customWidth="1"/>
    <col min="15" max="18" width="1.7265625" style="258" customWidth="1"/>
    <col min="19" max="19" width="15.1796875" style="706" customWidth="1"/>
    <col min="20" max="20" width="19.26953125" style="256" customWidth="1"/>
    <col min="21" max="21" width="12.26953125" style="256" customWidth="1"/>
    <col min="22" max="22" width="12.1796875" style="256" customWidth="1"/>
    <col min="23" max="23" width="10.453125" style="256" bestFit="1" customWidth="1"/>
    <col min="24" max="24" width="8.26953125" style="256" bestFit="1" customWidth="1"/>
    <col min="25" max="25" width="12.26953125" style="256" bestFit="1" customWidth="1"/>
    <col min="26" max="27" width="9.81640625" style="256"/>
    <col min="28" max="28" width="10" style="256" bestFit="1" customWidth="1"/>
    <col min="29" max="16384" width="9.81640625" style="256"/>
  </cols>
  <sheetData>
    <row r="1" spans="1:29" ht="18.5" customHeight="1">
      <c r="A1" s="911" t="s">
        <v>0</v>
      </c>
      <c r="B1" s="911"/>
      <c r="C1" s="911"/>
      <c r="D1" s="911"/>
      <c r="E1" s="911"/>
      <c r="F1" s="911"/>
      <c r="G1" s="911"/>
      <c r="H1" s="911"/>
      <c r="I1" s="840"/>
      <c r="J1" s="664"/>
      <c r="K1" s="664"/>
      <c r="L1" s="664"/>
      <c r="M1" s="664"/>
      <c r="N1" s="665"/>
      <c r="O1" s="665"/>
      <c r="P1" s="665"/>
      <c r="Q1" s="665"/>
      <c r="R1" s="665"/>
      <c r="S1" s="666"/>
      <c r="U1" s="257"/>
      <c r="V1" s="257"/>
      <c r="W1" s="257"/>
    </row>
    <row r="2" spans="1:29" ht="11.15" customHeight="1">
      <c r="A2" s="912" t="s">
        <v>40</v>
      </c>
      <c r="B2" s="912"/>
      <c r="C2" s="912"/>
      <c r="D2" s="912"/>
      <c r="E2" s="912"/>
      <c r="F2" s="912"/>
      <c r="G2" s="912"/>
      <c r="H2" s="912"/>
      <c r="I2" s="667"/>
      <c r="J2" s="667"/>
      <c r="K2" s="667"/>
      <c r="L2" s="667"/>
      <c r="M2" s="667"/>
      <c r="N2" s="261"/>
      <c r="O2" s="261"/>
      <c r="P2" s="261"/>
      <c r="Q2" s="261"/>
      <c r="R2" s="261"/>
      <c r="S2" s="668"/>
      <c r="T2" s="254"/>
      <c r="U2" s="259"/>
      <c r="V2" s="259"/>
      <c r="W2" s="259"/>
    </row>
    <row r="3" spans="1:29" ht="11.15" customHeight="1">
      <c r="A3" s="913" t="s">
        <v>2</v>
      </c>
      <c r="B3" s="913"/>
      <c r="C3" s="913"/>
      <c r="D3" s="913"/>
      <c r="E3" s="913"/>
      <c r="F3" s="913"/>
      <c r="G3" s="913"/>
      <c r="H3" s="913"/>
      <c r="I3" s="669"/>
      <c r="J3" s="669"/>
      <c r="K3" s="669"/>
      <c r="L3" s="669"/>
      <c r="M3" s="669"/>
      <c r="N3" s="670"/>
      <c r="O3" s="670"/>
      <c r="P3" s="670"/>
      <c r="Q3" s="670"/>
      <c r="R3" s="670"/>
      <c r="S3" s="671"/>
      <c r="T3" s="254"/>
      <c r="U3" s="254"/>
      <c r="V3" s="254"/>
      <c r="W3" s="254"/>
    </row>
    <row r="4" spans="1:29" ht="11.15" customHeight="1">
      <c r="D4" s="725"/>
      <c r="E4" s="725"/>
      <c r="F4" s="725"/>
      <c r="G4" s="726"/>
      <c r="S4" s="668"/>
      <c r="AB4" s="258"/>
    </row>
    <row r="5" spans="1:29" s="258" customFormat="1" ht="15" customHeight="1">
      <c r="A5" s="744" t="s">
        <v>41</v>
      </c>
      <c r="B5" s="745"/>
      <c r="C5" s="742"/>
      <c r="D5" s="903" t="s">
        <v>239</v>
      </c>
      <c r="E5" s="750" t="s">
        <v>169</v>
      </c>
      <c r="F5" s="749" t="s">
        <v>111</v>
      </c>
      <c r="G5" s="724"/>
      <c r="H5" s="724"/>
      <c r="I5" s="724"/>
      <c r="J5" s="673"/>
      <c r="K5" s="673"/>
      <c r="L5" s="673"/>
      <c r="O5" s="674"/>
      <c r="P5" s="674"/>
      <c r="Q5" s="674"/>
      <c r="R5" s="674"/>
      <c r="S5" s="668"/>
      <c r="W5" s="675" t="s">
        <v>172</v>
      </c>
      <c r="X5" s="465" t="s">
        <v>111</v>
      </c>
      <c r="AB5" s="676"/>
      <c r="AC5" s="696"/>
    </row>
    <row r="6" spans="1:29" ht="13" customHeight="1">
      <c r="A6" s="766" t="s">
        <v>42</v>
      </c>
      <c r="B6" s="728"/>
      <c r="C6" s="767"/>
      <c r="D6" s="785">
        <v>96944</v>
      </c>
      <c r="E6" s="785">
        <v>43637</v>
      </c>
      <c r="F6" s="768">
        <v>122.16009349863648</v>
      </c>
      <c r="G6" s="727">
        <v>53307</v>
      </c>
      <c r="J6" s="678">
        <v>53307</v>
      </c>
      <c r="O6" s="337"/>
      <c r="P6" s="337"/>
      <c r="Q6" s="337"/>
      <c r="R6" s="337"/>
      <c r="S6" s="679">
        <v>96.944000000000003</v>
      </c>
      <c r="T6" s="680">
        <v>4691.4440572977155</v>
      </c>
      <c r="W6" s="258"/>
      <c r="X6" s="258"/>
      <c r="Y6" s="574">
        <v>1141.2721303427327</v>
      </c>
      <c r="AB6" s="681">
        <v>2.6153771577852183</v>
      </c>
    </row>
    <row r="7" spans="1:29" ht="13" customHeight="1">
      <c r="A7" s="715" t="s">
        <v>245</v>
      </c>
      <c r="B7" s="728"/>
      <c r="D7" s="784">
        <v>2160</v>
      </c>
      <c r="E7" s="784">
        <v>120</v>
      </c>
      <c r="F7" s="720" t="s">
        <v>105</v>
      </c>
      <c r="G7" s="727"/>
      <c r="J7" s="678"/>
      <c r="O7" s="337"/>
      <c r="P7" s="337"/>
      <c r="Q7" s="337"/>
      <c r="R7" s="337"/>
      <c r="S7" s="679"/>
      <c r="T7" s="680"/>
      <c r="W7" s="258"/>
      <c r="X7" s="258"/>
      <c r="Y7" s="574"/>
      <c r="AB7" s="681"/>
    </row>
    <row r="8" spans="1:29" ht="13" customHeight="1">
      <c r="A8" s="766" t="s">
        <v>43</v>
      </c>
      <c r="B8" s="728"/>
      <c r="C8" s="767"/>
      <c r="D8" s="785">
        <v>32316</v>
      </c>
      <c r="E8" s="785">
        <v>26222</v>
      </c>
      <c r="F8" s="768">
        <v>23.240027457859803</v>
      </c>
      <c r="G8" s="727"/>
      <c r="O8" s="337"/>
      <c r="P8" s="337"/>
      <c r="Q8" s="337"/>
      <c r="R8" s="337"/>
      <c r="S8" s="679">
        <v>32.316000000000003</v>
      </c>
      <c r="T8" s="682">
        <v>2536.0764827245521</v>
      </c>
      <c r="U8" s="683"/>
      <c r="W8" s="465"/>
      <c r="X8" s="676"/>
      <c r="Y8" s="574">
        <v>1990.8858273756559</v>
      </c>
      <c r="AB8" s="681">
        <v>7.5924255486829804</v>
      </c>
    </row>
    <row r="9" spans="1:29" ht="13" customHeight="1">
      <c r="A9" s="715" t="s">
        <v>44</v>
      </c>
      <c r="B9" s="728"/>
      <c r="D9" s="784">
        <v>34840</v>
      </c>
      <c r="E9" s="784">
        <v>31932</v>
      </c>
      <c r="F9" s="720">
        <v>9.1068520606288459</v>
      </c>
      <c r="G9" s="727"/>
      <c r="O9" s="337"/>
      <c r="P9" s="337"/>
      <c r="Q9" s="337"/>
      <c r="R9" s="337"/>
      <c r="S9" s="679">
        <v>34.840000000000003</v>
      </c>
      <c r="T9" s="682"/>
      <c r="U9" s="683"/>
      <c r="W9" s="677">
        <v>95802.727869657261</v>
      </c>
      <c r="X9" s="684">
        <v>119.54471634085127</v>
      </c>
      <c r="Y9" s="574">
        <v>722.80568255039736</v>
      </c>
      <c r="AB9" s="681">
        <v>2.2635778609244603</v>
      </c>
    </row>
    <row r="10" spans="1:29" ht="13" customHeight="1">
      <c r="A10" s="769" t="s">
        <v>45</v>
      </c>
      <c r="B10" s="728"/>
      <c r="C10" s="770"/>
      <c r="D10" s="786">
        <v>14928</v>
      </c>
      <c r="E10" s="786">
        <v>16040</v>
      </c>
      <c r="F10" s="771">
        <v>-6.9326683291770603</v>
      </c>
      <c r="G10" s="727"/>
      <c r="O10" s="337"/>
      <c r="P10" s="337"/>
      <c r="Q10" s="337"/>
      <c r="R10" s="337"/>
      <c r="S10" s="679">
        <v>14.928000000000001</v>
      </c>
      <c r="W10" s="677">
        <v>30325.114172624344</v>
      </c>
      <c r="X10" s="684">
        <v>15.647601909176823</v>
      </c>
      <c r="Y10" s="574">
        <v>304.33923475806205</v>
      </c>
      <c r="AB10" s="681">
        <v>1.8973767752996427</v>
      </c>
    </row>
    <row r="11" spans="1:29" ht="13" customHeight="1">
      <c r="A11" s="715" t="s">
        <v>46</v>
      </c>
      <c r="B11" s="728"/>
      <c r="D11" s="784">
        <v>181188</v>
      </c>
      <c r="E11" s="784">
        <v>117951</v>
      </c>
      <c r="F11" s="720">
        <v>53.612940967011724</v>
      </c>
      <c r="O11" s="337"/>
      <c r="P11" s="337"/>
      <c r="Q11" s="337"/>
      <c r="R11" s="337"/>
      <c r="S11" s="679">
        <v>181.18799999999999</v>
      </c>
      <c r="W11" s="677">
        <v>34117.194317449605</v>
      </c>
      <c r="X11" s="684">
        <v>6.8432741997043856</v>
      </c>
      <c r="Y11" s="574">
        <v>4159.3028750268477</v>
      </c>
      <c r="AB11" s="681">
        <v>3.5262972548150131</v>
      </c>
    </row>
    <row r="12" spans="1:29" ht="13" customHeight="1">
      <c r="A12" s="766" t="s">
        <v>208</v>
      </c>
      <c r="B12" s="728"/>
      <c r="C12" s="767"/>
      <c r="D12" s="785">
        <v>96097</v>
      </c>
      <c r="E12" s="785">
        <v>128601</v>
      </c>
      <c r="F12" s="768">
        <v>-25.275075621495947</v>
      </c>
      <c r="O12" s="337"/>
      <c r="P12" s="337"/>
      <c r="Q12" s="337"/>
      <c r="R12" s="337"/>
      <c r="S12" s="679">
        <v>96.096999999999994</v>
      </c>
      <c r="W12" s="677">
        <v>14623.660765241937</v>
      </c>
      <c r="X12" s="684">
        <v>-8.830045104476703</v>
      </c>
      <c r="Y12" s="574">
        <v>7037.8448037801854</v>
      </c>
      <c r="AB12" s="681">
        <v>5.4726205890935447</v>
      </c>
    </row>
    <row r="13" spans="1:29" ht="13" customHeight="1">
      <c r="A13" s="715" t="s">
        <v>47</v>
      </c>
      <c r="B13" s="728"/>
      <c r="D13" s="784">
        <v>116712</v>
      </c>
      <c r="E13" s="784">
        <v>102223</v>
      </c>
      <c r="F13" s="720">
        <v>14.173913894133406</v>
      </c>
      <c r="J13" s="678">
        <v>14489</v>
      </c>
      <c r="O13" s="337"/>
      <c r="P13" s="337"/>
      <c r="Q13" s="337"/>
      <c r="R13" s="337"/>
      <c r="S13" s="679">
        <v>116.712</v>
      </c>
      <c r="W13" s="677">
        <v>177028.69712497314</v>
      </c>
      <c r="X13" s="684">
        <v>50.086643712196711</v>
      </c>
      <c r="Y13" s="574">
        <v>1997.2262280997822</v>
      </c>
      <c r="AB13" s="681">
        <v>1.9537934007999986</v>
      </c>
    </row>
    <row r="14" spans="1:29" ht="13" customHeight="1">
      <c r="A14" s="772" t="s">
        <v>201</v>
      </c>
      <c r="B14" s="581"/>
      <c r="C14" s="767"/>
      <c r="D14" s="785">
        <v>154093</v>
      </c>
      <c r="E14" s="785">
        <v>153268</v>
      </c>
      <c r="F14" s="768">
        <v>0.53827282929248543</v>
      </c>
      <c r="G14" s="727"/>
      <c r="O14" s="337"/>
      <c r="P14" s="337"/>
      <c r="Q14" s="337"/>
      <c r="R14" s="337"/>
      <c r="S14" s="679">
        <v>154.09299999999999</v>
      </c>
      <c r="W14" s="685">
        <v>89059.155196219814</v>
      </c>
      <c r="X14" s="684">
        <v>-30.747696210589492</v>
      </c>
      <c r="Y14" s="574">
        <v>21330.846920929092</v>
      </c>
      <c r="AB14" s="681">
        <v>13.917351907070685</v>
      </c>
    </row>
    <row r="15" spans="1:29" ht="13" customHeight="1">
      <c r="A15" s="755" t="s">
        <v>48</v>
      </c>
      <c r="C15" s="753"/>
      <c r="D15" s="787">
        <v>40451</v>
      </c>
      <c r="E15" s="787">
        <v>43580</v>
      </c>
      <c r="F15" s="754">
        <v>-7.1798990362551667</v>
      </c>
      <c r="G15" s="727"/>
      <c r="J15" s="678">
        <v>-3129</v>
      </c>
      <c r="O15" s="340"/>
      <c r="P15" s="340"/>
      <c r="Q15" s="340"/>
      <c r="R15" s="340"/>
      <c r="S15" s="679">
        <v>40.451000000000001</v>
      </c>
      <c r="T15" s="686"/>
      <c r="U15" s="687"/>
      <c r="W15" s="677">
        <v>114714.77377190022</v>
      </c>
      <c r="X15" s="684">
        <v>12.220120493333408</v>
      </c>
      <c r="Y15" s="574">
        <v>-7794.0913749194588</v>
      </c>
      <c r="AB15" s="681">
        <v>-17.884560291233278</v>
      </c>
    </row>
    <row r="16" spans="1:29" ht="13" customHeight="1" thickBot="1">
      <c r="A16" s="773" t="s">
        <v>49</v>
      </c>
      <c r="B16" s="774"/>
      <c r="C16" s="775"/>
      <c r="D16" s="841">
        <v>588541</v>
      </c>
      <c r="E16" s="841">
        <v>545623</v>
      </c>
      <c r="F16" s="842">
        <v>7.8658707569145836</v>
      </c>
      <c r="O16" s="340"/>
      <c r="P16" s="340"/>
      <c r="Q16" s="340"/>
      <c r="R16" s="340"/>
      <c r="S16" s="679">
        <v>588.54100000000005</v>
      </c>
      <c r="W16" s="677">
        <v>132762.15307907091</v>
      </c>
      <c r="X16" s="684">
        <v>-13.379079077778201</v>
      </c>
      <c r="Y16" s="574">
        <v>22571.826577889602</v>
      </c>
      <c r="AB16" s="681">
        <v>4.1368905962339664</v>
      </c>
    </row>
    <row r="17" spans="1:28" ht="11.15" customHeight="1">
      <c r="D17" s="800"/>
      <c r="E17" s="800"/>
      <c r="F17" s="743"/>
      <c r="G17" s="727"/>
      <c r="O17" s="337"/>
      <c r="P17" s="337"/>
      <c r="Q17" s="337"/>
      <c r="R17" s="337"/>
      <c r="S17" s="688"/>
      <c r="W17" s="677">
        <v>48245.091374919459</v>
      </c>
      <c r="X17" s="684">
        <v>10.704661254978109</v>
      </c>
      <c r="Y17" s="574"/>
      <c r="AB17" s="689"/>
    </row>
    <row r="18" spans="1:28" s="258" customFormat="1" ht="15" customHeight="1">
      <c r="A18" s="764" t="s">
        <v>50</v>
      </c>
      <c r="B18" s="745"/>
      <c r="C18" s="742"/>
      <c r="D18" s="801"/>
      <c r="E18" s="801"/>
      <c r="F18" s="756"/>
      <c r="G18" s="757"/>
      <c r="H18" s="724"/>
      <c r="I18" s="724"/>
      <c r="J18" s="673"/>
      <c r="K18" s="673"/>
      <c r="L18" s="673"/>
      <c r="O18" s="690"/>
      <c r="P18" s="690"/>
      <c r="Q18" s="690"/>
      <c r="R18" s="690"/>
      <c r="S18" s="688"/>
      <c r="T18" s="758"/>
      <c r="U18" s="758"/>
      <c r="V18" s="758"/>
      <c r="W18" s="696">
        <v>565969.17342211038</v>
      </c>
      <c r="X18" s="571">
        <v>3.7289801606806172</v>
      </c>
      <c r="Y18" s="526"/>
      <c r="AB18" s="713"/>
    </row>
    <row r="19" spans="1:28" ht="13" customHeight="1">
      <c r="A19" s="715" t="s">
        <v>51</v>
      </c>
      <c r="B19" s="728"/>
      <c r="D19" s="843">
        <v>2830</v>
      </c>
      <c r="E19" s="843">
        <v>1912</v>
      </c>
      <c r="F19" s="804">
        <v>48.012552301255226</v>
      </c>
      <c r="G19" s="727">
        <v>27563</v>
      </c>
      <c r="O19" s="337"/>
      <c r="P19" s="337"/>
      <c r="Q19" s="337"/>
      <c r="R19" s="337"/>
      <c r="S19" s="679">
        <v>2.83</v>
      </c>
      <c r="T19" s="692"/>
      <c r="U19" s="692">
        <v>918</v>
      </c>
      <c r="V19" s="691"/>
      <c r="W19" s="693"/>
      <c r="Y19" s="574">
        <v>209.23322389616766</v>
      </c>
      <c r="AB19" s="681">
        <v>10.943160245615452</v>
      </c>
    </row>
    <row r="20" spans="1:28" ht="13" customHeight="1">
      <c r="A20" s="766" t="s">
        <v>52</v>
      </c>
      <c r="B20" s="728"/>
      <c r="C20" s="767"/>
      <c r="D20" s="844">
        <v>10760</v>
      </c>
      <c r="E20" s="844">
        <v>5369</v>
      </c>
      <c r="F20" s="768">
        <v>100.40975973179363</v>
      </c>
      <c r="G20" s="727">
        <v>13590</v>
      </c>
      <c r="O20" s="340"/>
      <c r="P20" s="340"/>
      <c r="Q20" s="340"/>
      <c r="R20" s="340"/>
      <c r="S20" s="679">
        <v>10.76</v>
      </c>
      <c r="T20" s="691"/>
      <c r="U20" s="691"/>
      <c r="V20" s="691"/>
      <c r="W20" s="693"/>
      <c r="Y20" s="574">
        <v>-107.78681231014698</v>
      </c>
      <c r="AB20" s="681">
        <v>-2.007577059231636</v>
      </c>
    </row>
    <row r="21" spans="1:28" ht="13" customHeight="1">
      <c r="A21" s="715" t="s">
        <v>53</v>
      </c>
      <c r="B21" s="728"/>
      <c r="D21" s="845">
        <v>976</v>
      </c>
      <c r="E21" s="845">
        <v>976</v>
      </c>
      <c r="F21" s="720">
        <v>0</v>
      </c>
      <c r="I21" s="727">
        <v>0</v>
      </c>
      <c r="O21" s="340"/>
      <c r="P21" s="340"/>
      <c r="Q21" s="340"/>
      <c r="R21" s="340"/>
      <c r="S21" s="679">
        <v>0.97599999999999998</v>
      </c>
      <c r="T21" s="691"/>
      <c r="U21" s="694">
        <v>124507</v>
      </c>
      <c r="V21" s="694">
        <v>130775</v>
      </c>
      <c r="W21" s="677">
        <v>2620.7667761038324</v>
      </c>
      <c r="X21" s="684">
        <v>37.069392055639774</v>
      </c>
      <c r="Y21" s="574">
        <v>0</v>
      </c>
      <c r="AB21" s="681">
        <v>0</v>
      </c>
    </row>
    <row r="22" spans="1:28" ht="13" customHeight="1">
      <c r="A22" s="769" t="s">
        <v>54</v>
      </c>
      <c r="B22" s="728"/>
      <c r="C22" s="770"/>
      <c r="D22" s="846">
        <v>90456</v>
      </c>
      <c r="E22" s="846">
        <v>78032</v>
      </c>
      <c r="F22" s="771">
        <v>15.921673159729345</v>
      </c>
      <c r="G22" s="727"/>
      <c r="I22" s="727">
        <v>12424</v>
      </c>
      <c r="O22" s="686"/>
      <c r="P22" s="686"/>
      <c r="Q22" s="686"/>
      <c r="R22" s="686"/>
      <c r="S22" s="679">
        <v>90.456000000000003</v>
      </c>
      <c r="T22" s="691"/>
      <c r="U22" s="695">
        <v>6025.3097173828874</v>
      </c>
      <c r="V22" s="695">
        <v>7600.3254584023489</v>
      </c>
      <c r="W22" s="677">
        <v>10867.786812310147</v>
      </c>
      <c r="X22" s="684">
        <v>102.41733679102526</v>
      </c>
      <c r="Y22" s="574">
        <v>2060.6302353410456</v>
      </c>
      <c r="AB22" s="681">
        <v>2.6407502503345448</v>
      </c>
    </row>
    <row r="23" spans="1:28" ht="13" customHeight="1">
      <c r="A23" s="715" t="s">
        <v>55</v>
      </c>
      <c r="B23" s="728"/>
      <c r="D23" s="845">
        <v>105022</v>
      </c>
      <c r="E23" s="845">
        <v>86289</v>
      </c>
      <c r="F23" s="720">
        <v>21.709603773366236</v>
      </c>
      <c r="O23" s="337"/>
      <c r="P23" s="337"/>
      <c r="Q23" s="337"/>
      <c r="R23" s="337"/>
      <c r="S23" s="679">
        <v>105.02200000000001</v>
      </c>
      <c r="W23" s="677">
        <v>976</v>
      </c>
      <c r="X23" s="684">
        <v>0</v>
      </c>
      <c r="Y23" s="574">
        <v>2162.0766469270661</v>
      </c>
      <c r="AB23" s="681">
        <v>2.5056225555135185</v>
      </c>
    </row>
    <row r="24" spans="1:28" ht="13" customHeight="1">
      <c r="A24" s="772" t="s">
        <v>202</v>
      </c>
      <c r="B24" s="746"/>
      <c r="C24" s="767"/>
      <c r="D24" s="844">
        <v>110917</v>
      </c>
      <c r="E24" s="844">
        <v>123494</v>
      </c>
      <c r="F24" s="768">
        <v>-10.18430045184382</v>
      </c>
      <c r="I24" s="727">
        <v>-12577</v>
      </c>
      <c r="O24" s="337"/>
      <c r="P24" s="337"/>
      <c r="Q24" s="337"/>
      <c r="R24" s="337"/>
      <c r="S24" s="679">
        <v>110.917</v>
      </c>
      <c r="W24" s="677">
        <v>88395.369764658957</v>
      </c>
      <c r="X24" s="684">
        <v>13.2809229093948</v>
      </c>
      <c r="Y24" s="574">
        <v>196.55242244791509</v>
      </c>
      <c r="AB24" s="681">
        <v>0.15915949151206199</v>
      </c>
    </row>
    <row r="25" spans="1:28" s="258" customFormat="1" ht="13" customHeight="1">
      <c r="A25" s="716" t="s">
        <v>56</v>
      </c>
      <c r="B25" s="728"/>
      <c r="C25" s="725"/>
      <c r="D25" s="409">
        <v>5373</v>
      </c>
      <c r="E25" s="409">
        <v>4447</v>
      </c>
      <c r="F25" s="720">
        <v>20.823026759613228</v>
      </c>
      <c r="G25" s="724"/>
      <c r="H25" s="725"/>
      <c r="I25" s="725"/>
      <c r="O25" s="337"/>
      <c r="P25" s="337"/>
      <c r="Q25" s="337"/>
      <c r="R25" s="337"/>
      <c r="S25" s="679">
        <v>5.3730000000000002</v>
      </c>
      <c r="W25" s="677">
        <v>102859.92335307294</v>
      </c>
      <c r="X25" s="684">
        <v>19.203981217852718</v>
      </c>
      <c r="Y25" s="574">
        <v>0</v>
      </c>
      <c r="AB25" s="681">
        <v>0</v>
      </c>
    </row>
    <row r="26" spans="1:28" s="258" customFormat="1" ht="13" customHeight="1">
      <c r="A26" s="769" t="s">
        <v>57</v>
      </c>
      <c r="B26" s="728"/>
      <c r="C26" s="770"/>
      <c r="D26" s="805">
        <v>30317</v>
      </c>
      <c r="E26" s="805">
        <v>45223</v>
      </c>
      <c r="F26" s="771">
        <v>-32.96110386307852</v>
      </c>
      <c r="G26" s="729">
        <v>-14906</v>
      </c>
      <c r="H26" s="725"/>
      <c r="I26" s="727">
        <v>-14906</v>
      </c>
      <c r="O26" s="337"/>
      <c r="P26" s="337"/>
      <c r="Q26" s="337"/>
      <c r="R26" s="337"/>
      <c r="S26" s="679">
        <v>30.317</v>
      </c>
      <c r="T26" s="696">
        <v>-14906</v>
      </c>
      <c r="W26" s="677">
        <v>110720.44757755208</v>
      </c>
      <c r="X26" s="684">
        <v>-10.343459943355882</v>
      </c>
      <c r="Y26" s="574">
        <v>9428.1758767757965</v>
      </c>
      <c r="AB26" s="681">
        <v>20.848187596523438</v>
      </c>
    </row>
    <row r="27" spans="1:28" ht="13" customHeight="1">
      <c r="A27" s="716" t="s">
        <v>58</v>
      </c>
      <c r="B27" s="728"/>
      <c r="C27" s="725"/>
      <c r="D27" s="847">
        <v>251629</v>
      </c>
      <c r="E27" s="847">
        <v>259453</v>
      </c>
      <c r="F27" s="720">
        <v>-3.015575075254473</v>
      </c>
      <c r="O27" s="337"/>
      <c r="P27" s="337"/>
      <c r="Q27" s="337"/>
      <c r="R27" s="337"/>
      <c r="S27" s="679">
        <v>251.62899999999999</v>
      </c>
      <c r="W27" s="677">
        <v>5373</v>
      </c>
      <c r="X27" s="684">
        <v>20.823026759613228</v>
      </c>
      <c r="Y27" s="574">
        <v>11786.804946150778</v>
      </c>
      <c r="AB27" s="681">
        <v>4.5429441733765952</v>
      </c>
    </row>
    <row r="28" spans="1:28" ht="13" customHeight="1">
      <c r="A28" s="769" t="s">
        <v>59</v>
      </c>
      <c r="B28" s="728"/>
      <c r="C28" s="770"/>
      <c r="D28" s="846">
        <v>336912</v>
      </c>
      <c r="E28" s="846">
        <v>286170</v>
      </c>
      <c r="F28" s="771">
        <v>17.73141838767167</v>
      </c>
      <c r="G28" s="727"/>
      <c r="O28" s="337"/>
      <c r="P28" s="337"/>
      <c r="Q28" s="337"/>
      <c r="R28" s="337"/>
      <c r="S28" s="679">
        <v>336.91199999999998</v>
      </c>
      <c r="W28" s="677">
        <v>20888.824123224204</v>
      </c>
      <c r="X28" s="684">
        <v>-53.809291459601958</v>
      </c>
      <c r="Y28" s="574">
        <v>10797.702433187076</v>
      </c>
      <c r="AB28" s="681">
        <v>3.7731776332903699</v>
      </c>
    </row>
    <row r="29" spans="1:28" ht="13" customHeight="1" thickBot="1">
      <c r="A29" s="797" t="s">
        <v>135</v>
      </c>
      <c r="B29" s="798"/>
      <c r="C29" s="799"/>
      <c r="D29" s="848">
        <v>588541</v>
      </c>
      <c r="E29" s="848">
        <v>545623</v>
      </c>
      <c r="F29" s="850">
        <v>7.8658707569145836</v>
      </c>
      <c r="O29" s="697"/>
      <c r="P29" s="697"/>
      <c r="Q29" s="697"/>
      <c r="R29" s="697"/>
      <c r="S29" s="679">
        <v>588.54100000000005</v>
      </c>
      <c r="W29" s="677">
        <v>239842.19505384922</v>
      </c>
      <c r="X29" s="684">
        <v>-7.5585192486310682</v>
      </c>
      <c r="Y29" s="677">
        <v>22584.507379337854</v>
      </c>
      <c r="AB29" s="681" t="e">
        <v>#REF!</v>
      </c>
    </row>
    <row r="30" spans="1:28" ht="11.15" customHeight="1">
      <c r="A30" s="717"/>
      <c r="B30" s="747"/>
      <c r="C30" s="728"/>
      <c r="D30" s="730"/>
      <c r="E30" s="584"/>
      <c r="F30" s="730"/>
      <c r="O30" s="697"/>
      <c r="P30" s="697"/>
      <c r="Q30" s="697"/>
      <c r="R30" s="697"/>
      <c r="S30" s="688"/>
      <c r="W30" s="677">
        <v>326114.29756681295</v>
      </c>
      <c r="X30" s="684">
        <v>13.958240754381301</v>
      </c>
      <c r="Y30" s="255"/>
      <c r="Z30" s="255"/>
      <c r="AA30" s="255"/>
      <c r="AB30" s="698"/>
    </row>
    <row r="31" spans="1:28" s="258" customFormat="1" ht="18.75" customHeight="1">
      <c r="A31" s="528"/>
      <c r="B31" s="508"/>
      <c r="C31" s="916" t="s">
        <v>237</v>
      </c>
      <c r="D31" s="916"/>
      <c r="E31" s="508"/>
      <c r="F31" s="732"/>
      <c r="G31" s="586"/>
      <c r="H31" s="733"/>
      <c r="I31" s="734"/>
      <c r="J31" s="700"/>
      <c r="K31" s="700"/>
      <c r="L31" s="700"/>
      <c r="M31" s="701"/>
      <c r="N31" s="701"/>
      <c r="O31" s="701"/>
      <c r="P31" s="701"/>
      <c r="Q31" s="701"/>
      <c r="R31" s="701"/>
      <c r="S31" s="688"/>
    </row>
    <row r="32" spans="1:28" s="258" customFormat="1" ht="15" customHeight="1">
      <c r="A32" s="764" t="s">
        <v>207</v>
      </c>
      <c r="B32" s="588"/>
      <c r="C32" s="849" t="s">
        <v>90</v>
      </c>
      <c r="D32" s="849" t="s">
        <v>77</v>
      </c>
      <c r="E32" s="508"/>
      <c r="F32" s="508"/>
      <c r="G32" s="734"/>
      <c r="H32" s="735"/>
      <c r="I32" s="735"/>
      <c r="J32" s="702"/>
      <c r="K32" s="702"/>
      <c r="L32" s="702"/>
      <c r="M32" s="703"/>
      <c r="N32" s="703"/>
      <c r="O32" s="703"/>
      <c r="P32" s="703"/>
      <c r="Q32" s="703"/>
      <c r="R32" s="703"/>
      <c r="S32" s="688"/>
    </row>
    <row r="33" spans="1:27" ht="13" customHeight="1">
      <c r="A33" s="528" t="s">
        <v>78</v>
      </c>
      <c r="B33" s="508"/>
      <c r="C33" s="751"/>
      <c r="D33" s="589"/>
      <c r="E33" s="481"/>
      <c r="F33" s="481"/>
      <c r="G33" s="585"/>
      <c r="H33" s="485"/>
      <c r="I33" s="485"/>
      <c r="J33" s="336"/>
      <c r="K33" s="336"/>
      <c r="L33" s="336"/>
      <c r="M33" s="526"/>
      <c r="N33" s="526"/>
      <c r="O33" s="526"/>
      <c r="P33" s="526"/>
      <c r="Q33" s="526"/>
      <c r="R33" s="526"/>
      <c r="S33" s="688"/>
    </row>
    <row r="34" spans="1:27" ht="13" customHeight="1">
      <c r="A34" s="791" t="s">
        <v>209</v>
      </c>
      <c r="B34" s="532"/>
      <c r="C34" s="792">
        <v>0.39636543142030944</v>
      </c>
      <c r="D34" s="792">
        <v>8.0161251124057212E-2</v>
      </c>
      <c r="E34" s="481"/>
      <c r="F34" s="481"/>
      <c r="G34" s="585"/>
      <c r="H34" s="484"/>
      <c r="I34" s="737"/>
      <c r="J34" s="704"/>
      <c r="K34" s="704"/>
      <c r="L34" s="704"/>
      <c r="M34" s="526"/>
      <c r="N34" s="526"/>
      <c r="O34" s="526"/>
      <c r="P34" s="526"/>
      <c r="Q34" s="526"/>
      <c r="R34" s="526"/>
      <c r="S34" s="688"/>
    </row>
    <row r="35" spans="1:27" ht="13" customHeight="1">
      <c r="A35" s="793" t="s">
        <v>211</v>
      </c>
      <c r="B35" s="532"/>
      <c r="C35" s="736">
        <v>9.5523200930310095E-3</v>
      </c>
      <c r="D35" s="736">
        <v>3.0199341225882272E-2</v>
      </c>
      <c r="E35" s="481"/>
      <c r="F35" s="481"/>
      <c r="G35" s="585"/>
      <c r="H35" s="484"/>
      <c r="I35" s="737"/>
      <c r="J35" s="704"/>
      <c r="K35" s="704"/>
      <c r="L35" s="704"/>
      <c r="M35" s="526"/>
      <c r="N35" s="526"/>
      <c r="O35" s="526"/>
      <c r="P35" s="526"/>
      <c r="Q35" s="526"/>
      <c r="R35" s="526"/>
      <c r="S35" s="688"/>
    </row>
    <row r="36" spans="1:27" ht="13" customHeight="1">
      <c r="A36" s="791" t="s">
        <v>210</v>
      </c>
      <c r="B36" s="532"/>
      <c r="C36" s="792">
        <v>0.18248021493033584</v>
      </c>
      <c r="D36" s="792">
        <v>1.7500000000000002E-2</v>
      </c>
      <c r="E36" s="481"/>
      <c r="F36" s="481"/>
      <c r="G36" s="585"/>
      <c r="H36" s="484"/>
      <c r="I36" s="737"/>
      <c r="J36" s="704"/>
      <c r="K36" s="704"/>
      <c r="L36" s="704"/>
      <c r="M36" s="526"/>
      <c r="N36" s="526"/>
      <c r="O36" s="526"/>
      <c r="P36" s="526"/>
      <c r="Q36" s="526"/>
      <c r="R36" s="526"/>
      <c r="S36" s="688"/>
    </row>
    <row r="37" spans="1:27" ht="13" customHeight="1">
      <c r="A37" s="793" t="s">
        <v>213</v>
      </c>
      <c r="B37" s="532"/>
      <c r="C37" s="736">
        <v>2.0898812203520307E-2</v>
      </c>
      <c r="D37" s="736">
        <v>7.8883458181566959E-2</v>
      </c>
      <c r="E37" s="481"/>
      <c r="F37" s="481"/>
      <c r="G37" s="585"/>
      <c r="H37" s="484"/>
      <c r="I37" s="737"/>
      <c r="J37" s="704"/>
      <c r="K37" s="704"/>
      <c r="L37" s="704"/>
      <c r="M37" s="526"/>
      <c r="N37" s="526"/>
      <c r="O37" s="526"/>
      <c r="P37" s="526"/>
      <c r="Q37" s="526"/>
      <c r="R37" s="526"/>
      <c r="S37" s="688"/>
    </row>
    <row r="38" spans="1:27" ht="13" customHeight="1">
      <c r="A38" s="791" t="s">
        <v>212</v>
      </c>
      <c r="B38" s="532"/>
      <c r="C38" s="792">
        <v>8.1919907737290903E-4</v>
      </c>
      <c r="D38" s="792">
        <v>0.22399999999999998</v>
      </c>
      <c r="E38" s="481"/>
      <c r="F38" s="481"/>
      <c r="G38" s="734"/>
      <c r="H38" s="484"/>
      <c r="I38" s="737"/>
      <c r="J38" s="704"/>
      <c r="K38" s="704"/>
      <c r="L38" s="704"/>
      <c r="M38" s="526"/>
      <c r="N38" s="526"/>
      <c r="O38" s="526"/>
      <c r="P38" s="526"/>
      <c r="Q38" s="526"/>
      <c r="R38" s="526"/>
      <c r="Z38" s="337"/>
      <c r="AA38" s="254"/>
    </row>
    <row r="39" spans="1:27" s="258" customFormat="1" ht="13" customHeight="1">
      <c r="A39" s="793" t="s">
        <v>215</v>
      </c>
      <c r="B39" s="532"/>
      <c r="C39" s="736">
        <v>0.35067046624084341</v>
      </c>
      <c r="D39" s="736">
        <v>7.3757687377059608E-2</v>
      </c>
      <c r="E39" s="481"/>
      <c r="F39" s="481"/>
      <c r="G39" s="585"/>
      <c r="H39" s="484"/>
      <c r="I39" s="737"/>
      <c r="J39" s="704"/>
      <c r="K39" s="704"/>
      <c r="L39" s="704"/>
      <c r="M39" s="526"/>
      <c r="N39" s="526"/>
      <c r="O39" s="526"/>
      <c r="P39" s="526"/>
      <c r="Q39" s="526"/>
      <c r="R39" s="526"/>
      <c r="S39" s="707"/>
    </row>
    <row r="40" spans="1:27" s="258" customFormat="1" ht="13" customHeight="1">
      <c r="A40" s="794" t="s">
        <v>214</v>
      </c>
      <c r="B40" s="795"/>
      <c r="C40" s="796">
        <v>3.9213556034586934E-2</v>
      </c>
      <c r="D40" s="796">
        <v>5.8170744977640326E-2</v>
      </c>
      <c r="E40" s="481"/>
      <c r="F40" s="481"/>
      <c r="G40" s="585"/>
      <c r="H40" s="484"/>
      <c r="I40" s="737"/>
      <c r="J40" s="704"/>
      <c r="K40" s="704"/>
      <c r="L40" s="704"/>
      <c r="M40" s="526"/>
      <c r="N40" s="526"/>
      <c r="O40" s="526"/>
      <c r="P40" s="526"/>
      <c r="Q40" s="526"/>
      <c r="R40" s="526"/>
      <c r="S40" s="707"/>
    </row>
    <row r="41" spans="1:27" s="258" customFormat="1" ht="13" customHeight="1" thickBot="1">
      <c r="A41" s="762" t="s">
        <v>79</v>
      </c>
      <c r="B41" s="763"/>
      <c r="C41" s="788">
        <v>0.99999999999999989</v>
      </c>
      <c r="D41" s="788">
        <v>6.5232821981194455E-2</v>
      </c>
      <c r="E41" s="481"/>
      <c r="F41" s="481"/>
      <c r="G41" s="585"/>
      <c r="H41" s="484"/>
      <c r="I41" s="738"/>
      <c r="J41" s="708"/>
      <c r="K41" s="708"/>
      <c r="L41" s="708"/>
      <c r="M41" s="526"/>
      <c r="N41" s="526"/>
      <c r="O41" s="526"/>
      <c r="P41" s="526"/>
      <c r="Q41" s="526"/>
      <c r="R41" s="526"/>
      <c r="S41" s="707"/>
    </row>
    <row r="42" spans="1:27" s="258" customFormat="1" ht="11.15" customHeight="1">
      <c r="A42" s="759"/>
      <c r="B42" s="508"/>
      <c r="C42" s="760"/>
      <c r="D42" s="503"/>
      <c r="E42" s="481"/>
      <c r="F42" s="481"/>
      <c r="G42" s="585"/>
      <c r="H42" s="586"/>
      <c r="I42" s="734"/>
      <c r="J42" s="705"/>
      <c r="K42" s="705"/>
      <c r="L42" s="705"/>
      <c r="M42" s="526"/>
      <c r="N42" s="526"/>
      <c r="O42" s="526"/>
      <c r="P42" s="526"/>
      <c r="Q42" s="526"/>
      <c r="R42" s="526"/>
      <c r="S42" s="707"/>
    </row>
    <row r="43" spans="1:27" s="258" customFormat="1" ht="13" customHeight="1">
      <c r="A43" s="528" t="s">
        <v>203</v>
      </c>
      <c r="B43" s="508"/>
      <c r="C43" s="789">
        <v>0.83646301815327762</v>
      </c>
      <c r="D43" s="503"/>
      <c r="E43" s="481"/>
      <c r="F43" s="481"/>
      <c r="G43" s="585"/>
      <c r="H43" s="484"/>
      <c r="I43" s="737"/>
      <c r="J43" s="704"/>
      <c r="K43" s="704"/>
      <c r="L43" s="704"/>
      <c r="M43" s="526"/>
      <c r="N43" s="526"/>
      <c r="O43" s="526"/>
      <c r="P43" s="526"/>
      <c r="Q43" s="526"/>
      <c r="R43" s="526"/>
      <c r="S43" s="709"/>
    </row>
    <row r="44" spans="1:27" s="258" customFormat="1" ht="13" customHeight="1" thickBot="1">
      <c r="A44" s="762" t="s">
        <v>204</v>
      </c>
      <c r="B44" s="763"/>
      <c r="C44" s="790">
        <v>0.16353698184672238</v>
      </c>
      <c r="D44" s="503"/>
      <c r="E44" s="481"/>
      <c r="F44" s="481"/>
      <c r="G44" s="585"/>
      <c r="H44" s="484"/>
      <c r="I44" s="737"/>
      <c r="J44" s="704"/>
      <c r="K44" s="704"/>
      <c r="L44" s="704"/>
      <c r="M44" s="526"/>
      <c r="N44" s="526"/>
      <c r="O44" s="526"/>
      <c r="P44" s="526"/>
      <c r="Q44" s="526"/>
      <c r="R44" s="526"/>
      <c r="S44" s="709"/>
    </row>
    <row r="45" spans="1:27" s="258" customFormat="1" ht="11.15" customHeight="1">
      <c r="A45" s="529"/>
      <c r="B45" s="508"/>
      <c r="C45" s="481"/>
      <c r="D45" s="481"/>
      <c r="E45" s="481"/>
      <c r="F45" s="481"/>
      <c r="G45" s="585"/>
      <c r="H45" s="585"/>
      <c r="I45" s="585"/>
      <c r="J45" s="573"/>
      <c r="K45" s="573"/>
      <c r="L45" s="573"/>
      <c r="M45" s="574"/>
      <c r="N45" s="574"/>
      <c r="O45" s="574"/>
      <c r="P45" s="574"/>
      <c r="Q45" s="574"/>
      <c r="R45" s="574"/>
      <c r="S45" s="707"/>
    </row>
    <row r="46" spans="1:27" s="258" customFormat="1" ht="11.15" customHeight="1">
      <c r="A46" s="529"/>
      <c r="B46" s="508"/>
      <c r="C46" s="481"/>
      <c r="D46" s="481"/>
      <c r="E46" s="481"/>
      <c r="F46" s="481"/>
      <c r="G46" s="585"/>
      <c r="H46" s="585"/>
      <c r="I46" s="585"/>
      <c r="J46" s="573"/>
      <c r="K46" s="573"/>
      <c r="L46" s="573"/>
      <c r="M46" s="574"/>
      <c r="N46" s="574"/>
      <c r="O46" s="574"/>
      <c r="P46" s="574"/>
      <c r="Q46" s="574"/>
      <c r="R46" s="574"/>
      <c r="S46" s="707"/>
    </row>
    <row r="47" spans="1:27" s="258" customFormat="1" ht="15" customHeight="1">
      <c r="A47" s="744" t="s">
        <v>225</v>
      </c>
      <c r="B47" s="748"/>
      <c r="C47" s="765">
        <v>2018</v>
      </c>
      <c r="D47" s="765">
        <v>2019</v>
      </c>
      <c r="E47" s="765">
        <v>2020</v>
      </c>
      <c r="F47" s="765">
        <v>2021</v>
      </c>
      <c r="G47" s="765">
        <v>2022</v>
      </c>
      <c r="H47" s="765" t="s">
        <v>238</v>
      </c>
      <c r="I47" s="484"/>
      <c r="J47" s="752"/>
      <c r="K47" s="752"/>
      <c r="L47" s="752"/>
      <c r="S47" s="707"/>
    </row>
    <row r="48" spans="1:27" s="711" customFormat="1" ht="13" customHeight="1" thickBot="1">
      <c r="A48" s="831" t="s">
        <v>80</v>
      </c>
      <c r="B48" s="761"/>
      <c r="C48" s="790">
        <v>0.13511189767530796</v>
      </c>
      <c r="D48" s="790">
        <v>6.2369312914014624E-2</v>
      </c>
      <c r="E48" s="790">
        <v>8.8550291729862757E-2</v>
      </c>
      <c r="F48" s="790">
        <v>5.8130745497739798E-2</v>
      </c>
      <c r="G48" s="790">
        <v>1.8091453833750628E-2</v>
      </c>
      <c r="H48" s="790">
        <v>0.63774629834932417</v>
      </c>
      <c r="I48" s="739"/>
      <c r="J48" s="710"/>
      <c r="K48" s="710"/>
      <c r="L48" s="710"/>
      <c r="S48" s="712"/>
    </row>
    <row r="49" spans="1:19" s="711" customFormat="1">
      <c r="A49" s="835"/>
      <c r="B49" s="836"/>
      <c r="C49" s="789"/>
      <c r="D49" s="789"/>
      <c r="E49" s="789"/>
      <c r="F49" s="789"/>
      <c r="G49" s="789"/>
      <c r="H49" s="789"/>
      <c r="I49" s="739"/>
      <c r="J49" s="710"/>
      <c r="K49" s="710"/>
      <c r="L49" s="710"/>
      <c r="S49" s="712"/>
    </row>
    <row r="50" spans="1:19" s="258" customFormat="1" ht="11.15" customHeight="1">
      <c r="A50" s="718"/>
      <c r="B50" s="725"/>
      <c r="C50" s="740"/>
      <c r="D50" s="725"/>
      <c r="E50" s="725"/>
      <c r="F50" s="741"/>
      <c r="G50" s="724"/>
      <c r="H50" s="724"/>
      <c r="I50" s="724"/>
      <c r="J50" s="673"/>
      <c r="K50" s="673"/>
      <c r="L50" s="673"/>
      <c r="S50" s="707"/>
    </row>
    <row r="51" spans="1:19" ht="11.15" customHeight="1">
      <c r="A51" s="915" t="s">
        <v>205</v>
      </c>
      <c r="B51" s="915"/>
      <c r="C51" s="915"/>
      <c r="D51" s="915"/>
      <c r="E51" s="915"/>
      <c r="F51" s="915"/>
      <c r="H51" s="731"/>
      <c r="I51" s="731"/>
      <c r="J51" s="699"/>
      <c r="K51" s="699"/>
      <c r="L51" s="699"/>
      <c r="M51" s="697"/>
      <c r="N51" s="697"/>
      <c r="O51" s="697"/>
      <c r="P51" s="697"/>
      <c r="Q51" s="697"/>
      <c r="R51" s="697"/>
      <c r="S51" s="688"/>
    </row>
    <row r="52" spans="1:19" ht="11.15" customHeight="1">
      <c r="A52" s="914" t="s">
        <v>206</v>
      </c>
      <c r="B52" s="914"/>
      <c r="C52" s="914"/>
      <c r="D52" s="914"/>
      <c r="E52" s="914"/>
      <c r="F52" s="914"/>
      <c r="G52" s="914"/>
      <c r="H52" s="914"/>
      <c r="I52" s="731"/>
      <c r="J52" s="699"/>
      <c r="K52" s="699"/>
      <c r="L52" s="699"/>
      <c r="M52" s="697"/>
      <c r="N52" s="697"/>
      <c r="O52" s="697"/>
      <c r="P52" s="697"/>
      <c r="Q52" s="697"/>
      <c r="R52" s="697"/>
      <c r="S52" s="688"/>
    </row>
    <row r="53" spans="1:19" s="258" customFormat="1" ht="11.15" customHeight="1">
      <c r="A53" s="718"/>
      <c r="B53" s="725"/>
      <c r="C53" s="725"/>
      <c r="D53" s="725"/>
      <c r="E53" s="725"/>
      <c r="F53" s="725"/>
      <c r="G53" s="724"/>
      <c r="H53" s="724"/>
      <c r="I53" s="724"/>
      <c r="J53" s="673"/>
      <c r="K53" s="673"/>
      <c r="L53" s="673"/>
      <c r="S53" s="707"/>
    </row>
    <row r="54" spans="1:19" s="258" customFormat="1" ht="11.15" customHeight="1">
      <c r="A54" s="718"/>
      <c r="B54" s="725"/>
      <c r="C54" s="725"/>
      <c r="D54" s="725"/>
      <c r="E54" s="725"/>
      <c r="F54" s="725"/>
      <c r="G54" s="724"/>
      <c r="H54" s="724"/>
      <c r="I54" s="724"/>
      <c r="J54" s="673"/>
      <c r="K54" s="673"/>
      <c r="L54" s="673"/>
      <c r="S54" s="707"/>
    </row>
    <row r="55" spans="1:19" s="258" customFormat="1" ht="11.15" customHeight="1">
      <c r="A55" s="719"/>
      <c r="B55" s="742"/>
      <c r="C55" s="721"/>
      <c r="D55" s="721"/>
      <c r="E55" s="721"/>
      <c r="F55" s="721"/>
      <c r="G55" s="724"/>
      <c r="H55" s="724"/>
      <c r="I55" s="724"/>
      <c r="J55" s="673"/>
      <c r="K55" s="673"/>
      <c r="L55" s="673"/>
      <c r="S55" s="707"/>
    </row>
  </sheetData>
  <mergeCells count="6">
    <mergeCell ref="A52:H52"/>
    <mergeCell ref="A1:H1"/>
    <mergeCell ref="A2:H2"/>
    <mergeCell ref="A3:H3"/>
    <mergeCell ref="A51:F51"/>
    <mergeCell ref="C31:D31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0</xdr:colOff>
                <xdr:row>37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77"/>
  <sheetViews>
    <sheetView showGridLines="0" view="pageBreakPreview" topLeftCell="A14" zoomScale="110" zoomScaleSheetLayoutView="110" workbookViewId="0">
      <selection activeCell="I73" sqref="I73"/>
    </sheetView>
  </sheetViews>
  <sheetFormatPr defaultColWidth="9.81640625" defaultRowHeight="15.5" outlineLevelRow="1"/>
  <cols>
    <col min="1" max="1" width="63.26953125" style="2" bestFit="1" customWidth="1"/>
    <col min="2" max="2" width="1.453125" style="6" customWidth="1"/>
    <col min="3" max="3" width="10.7265625" style="2" customWidth="1"/>
    <col min="4" max="4" width="12.26953125" style="2" customWidth="1"/>
    <col min="5" max="5" width="10.7265625" style="2" customWidth="1"/>
    <col min="6" max="6" width="10.54296875" style="6" hidden="1" customWidth="1"/>
    <col min="7" max="7" width="49" style="2" hidden="1" customWidth="1"/>
    <col min="8" max="8" width="16.453125" style="2" customWidth="1"/>
    <col min="9" max="9" width="13.1796875" style="2" customWidth="1"/>
    <col min="10" max="10" width="22.453125" style="2" customWidth="1"/>
    <col min="11" max="11" width="9.81640625" style="2" customWidth="1"/>
    <col min="12" max="12" width="5" style="2" customWidth="1"/>
    <col min="13" max="13" width="5.1796875" style="2" customWidth="1"/>
    <col min="14" max="16384" width="9.81640625" style="2"/>
  </cols>
  <sheetData>
    <row r="1" spans="1:17" ht="39" customHeight="1">
      <c r="A1" s="917" t="s">
        <v>0</v>
      </c>
      <c r="B1" s="917"/>
      <c r="C1" s="917"/>
      <c r="D1" s="917"/>
      <c r="E1" s="917"/>
      <c r="F1" s="917"/>
      <c r="G1" s="917"/>
      <c r="I1" s="3"/>
      <c r="J1" s="3"/>
      <c r="K1" s="3"/>
    </row>
    <row r="2" spans="1:17" ht="15" customHeight="1">
      <c r="A2" s="918" t="s">
        <v>1</v>
      </c>
      <c r="B2" s="918"/>
      <c r="C2" s="918"/>
      <c r="D2" s="918"/>
      <c r="E2" s="918"/>
      <c r="F2" s="918"/>
      <c r="G2" s="918"/>
      <c r="H2" s="4"/>
      <c r="I2" s="5"/>
      <c r="J2" s="5"/>
      <c r="K2" s="5"/>
    </row>
    <row r="3" spans="1:17" ht="15" customHeight="1">
      <c r="A3" s="919" t="s">
        <v>67</v>
      </c>
      <c r="B3" s="919"/>
      <c r="C3" s="919"/>
      <c r="D3" s="919"/>
      <c r="E3" s="919"/>
      <c r="F3" s="919"/>
      <c r="G3" s="919"/>
      <c r="H3" s="4"/>
      <c r="I3" s="5"/>
      <c r="J3" s="5"/>
      <c r="K3" s="5"/>
    </row>
    <row r="4" spans="1:17" ht="18">
      <c r="A4" s="920" t="s">
        <v>3</v>
      </c>
      <c r="B4" s="920"/>
      <c r="C4" s="920"/>
      <c r="D4" s="920"/>
      <c r="E4" s="920"/>
      <c r="F4" s="920"/>
      <c r="G4" s="4"/>
      <c r="H4" s="4"/>
      <c r="I4" s="4"/>
      <c r="J4" s="4"/>
      <c r="K4" s="4"/>
      <c r="L4" s="4"/>
      <c r="M4" s="4"/>
      <c r="N4" s="6"/>
    </row>
    <row r="5" spans="1:17">
      <c r="A5" s="7"/>
      <c r="B5" s="8"/>
      <c r="C5" s="7"/>
      <c r="D5" s="7"/>
      <c r="E5" s="7"/>
      <c r="F5" s="8"/>
      <c r="G5" s="7"/>
      <c r="H5" s="8"/>
      <c r="I5" s="9"/>
      <c r="J5" s="9"/>
      <c r="K5" s="10"/>
    </row>
    <row r="6" spans="1:17">
      <c r="A6" s="11"/>
      <c r="B6" s="11"/>
      <c r="C6" s="921" t="s">
        <v>136</v>
      </c>
      <c r="D6" s="921"/>
      <c r="E6" s="921"/>
      <c r="F6" s="12"/>
      <c r="G6" s="158"/>
      <c r="H6" s="6"/>
      <c r="I6" s="13"/>
      <c r="J6" s="13"/>
      <c r="K6" s="6"/>
    </row>
    <row r="7" spans="1:17" hidden="1">
      <c r="A7" s="11"/>
      <c r="B7" s="11"/>
      <c r="C7" s="157"/>
      <c r="D7" s="157"/>
      <c r="E7" s="157"/>
      <c r="F7" s="12"/>
      <c r="G7" s="158"/>
      <c r="H7" s="6"/>
      <c r="I7" s="13"/>
      <c r="J7" s="13"/>
      <c r="K7" s="6"/>
    </row>
    <row r="8" spans="1:17" ht="28.5">
      <c r="A8" s="14"/>
      <c r="B8" s="15"/>
      <c r="C8" s="91" t="s">
        <v>138</v>
      </c>
      <c r="D8" s="90" t="s">
        <v>39</v>
      </c>
      <c r="E8" s="91" t="s">
        <v>139</v>
      </c>
      <c r="F8" s="17" t="s">
        <v>4</v>
      </c>
      <c r="G8" s="158"/>
      <c r="H8" s="19"/>
      <c r="I8" s="18"/>
      <c r="J8" s="18"/>
      <c r="K8" s="18"/>
      <c r="P8" s="20"/>
      <c r="Q8" s="20"/>
    </row>
    <row r="9" spans="1:17" ht="15.75" hidden="1" customHeight="1">
      <c r="A9" s="21"/>
      <c r="B9" s="21"/>
      <c r="C9" s="22"/>
      <c r="D9" s="22"/>
      <c r="E9" s="23"/>
      <c r="F9" s="24"/>
      <c r="G9" s="4"/>
      <c r="H9" s="25"/>
      <c r="I9" s="26"/>
      <c r="J9" s="26"/>
      <c r="K9" s="23"/>
    </row>
    <row r="10" spans="1:17" ht="15.75" hidden="1" customHeight="1">
      <c r="A10" s="27"/>
      <c r="B10" s="21"/>
      <c r="C10" s="28"/>
      <c r="D10" s="28"/>
      <c r="E10" s="29"/>
      <c r="F10" s="24"/>
      <c r="G10" s="158"/>
      <c r="H10" s="25"/>
      <c r="I10" s="26"/>
      <c r="J10" s="26"/>
      <c r="K10" s="23"/>
      <c r="L10" s="20"/>
      <c r="M10" s="20"/>
      <c r="N10" s="30"/>
    </row>
    <row r="11" spans="1:17">
      <c r="A11" s="25" t="s">
        <v>5</v>
      </c>
      <c r="B11" s="25"/>
      <c r="C11" s="143">
        <v>460456</v>
      </c>
      <c r="D11" s="31"/>
      <c r="E11" s="164">
        <f>+C11+D11</f>
        <v>460456</v>
      </c>
      <c r="F11" s="32">
        <f>((+E11/E$11)*100)</f>
        <v>100</v>
      </c>
      <c r="G11" s="31"/>
      <c r="H11" s="25"/>
      <c r="I11" s="26"/>
      <c r="J11" s="26"/>
      <c r="K11" s="23"/>
      <c r="L11" s="20"/>
      <c r="M11" s="20"/>
      <c r="N11" s="30"/>
    </row>
    <row r="12" spans="1:17">
      <c r="A12" s="34" t="s">
        <v>6</v>
      </c>
      <c r="B12" s="25"/>
      <c r="C12" s="153">
        <v>290188</v>
      </c>
      <c r="D12" s="39"/>
      <c r="E12" s="165">
        <f t="shared" ref="E12:E33" si="0">+C12+D12</f>
        <v>290188</v>
      </c>
      <c r="F12" s="35">
        <f>F11-F13</f>
        <v>63</v>
      </c>
      <c r="G12" s="31"/>
      <c r="H12" s="25"/>
      <c r="I12" s="26"/>
      <c r="J12" s="26"/>
      <c r="K12" s="23"/>
    </row>
    <row r="13" spans="1:17">
      <c r="A13" s="34" t="s">
        <v>7</v>
      </c>
      <c r="B13" s="25"/>
      <c r="C13" s="153">
        <f>C11-C12</f>
        <v>170268</v>
      </c>
      <c r="D13" s="39">
        <f>+D11-D12</f>
        <v>0</v>
      </c>
      <c r="E13" s="165">
        <f t="shared" si="0"/>
        <v>170268</v>
      </c>
      <c r="F13" s="35">
        <f>ROUND(((+E13/E$11)*100),1)</f>
        <v>37</v>
      </c>
      <c r="G13" s="31"/>
      <c r="H13" s="25"/>
      <c r="I13" s="26"/>
      <c r="J13" s="26"/>
      <c r="K13" s="23"/>
    </row>
    <row r="14" spans="1:17">
      <c r="A14" s="44" t="s">
        <v>34</v>
      </c>
      <c r="B14" s="21"/>
      <c r="C14" s="143">
        <v>16512</v>
      </c>
      <c r="D14" s="31"/>
      <c r="E14" s="164">
        <f t="shared" si="0"/>
        <v>16512</v>
      </c>
      <c r="F14" s="32">
        <f>ROUND(((+E14/E$11)*100),1)</f>
        <v>3.6</v>
      </c>
      <c r="G14" s="31"/>
      <c r="H14" s="25"/>
      <c r="I14" s="26"/>
      <c r="J14" s="26"/>
      <c r="K14" s="23"/>
    </row>
    <row r="15" spans="1:17">
      <c r="A15" s="44" t="s">
        <v>35</v>
      </c>
      <c r="B15" s="21"/>
      <c r="C15" s="143">
        <v>111457</v>
      </c>
      <c r="D15" s="65">
        <v>-1</v>
      </c>
      <c r="E15" s="164">
        <f t="shared" si="0"/>
        <v>111456</v>
      </c>
      <c r="F15" s="32">
        <f>F16-F14</f>
        <v>-3.6</v>
      </c>
      <c r="G15" s="31"/>
      <c r="H15" s="25"/>
      <c r="I15" s="26"/>
      <c r="J15" s="26"/>
      <c r="K15" s="40"/>
    </row>
    <row r="16" spans="1:17" s="112" customFormat="1" outlineLevel="1">
      <c r="A16" s="25" t="s">
        <v>74</v>
      </c>
      <c r="B16" s="25"/>
      <c r="C16" s="143">
        <v>-98</v>
      </c>
      <c r="D16" s="31"/>
      <c r="E16" s="164">
        <f>+C16+D16</f>
        <v>-98</v>
      </c>
      <c r="F16" s="88"/>
      <c r="G16" s="115"/>
      <c r="H16" s="170"/>
      <c r="I16" s="110"/>
      <c r="J16" s="111"/>
      <c r="K16" s="110"/>
    </row>
    <row r="17" spans="1:14" outlineLevel="1">
      <c r="A17" s="25" t="s">
        <v>69</v>
      </c>
      <c r="B17" s="25"/>
      <c r="C17" s="143">
        <v>762</v>
      </c>
      <c r="D17" s="143">
        <v>1</v>
      </c>
      <c r="E17" s="164">
        <f>+C17+D17</f>
        <v>763</v>
      </c>
      <c r="F17" s="32"/>
      <c r="G17" s="31"/>
      <c r="H17" s="41"/>
      <c r="I17" s="23"/>
      <c r="J17" s="42"/>
      <c r="K17" s="23"/>
    </row>
    <row r="18" spans="1:14">
      <c r="A18" s="25" t="s">
        <v>75</v>
      </c>
      <c r="C18" s="103">
        <f>+C17-C16</f>
        <v>860</v>
      </c>
      <c r="D18" s="171">
        <f>+D17-D16</f>
        <v>1</v>
      </c>
      <c r="E18" s="171">
        <f>+C18+D18</f>
        <v>861</v>
      </c>
      <c r="F18" s="32"/>
      <c r="G18" s="31"/>
      <c r="H18" s="42">
        <f>+C18+C20</f>
        <v>-685</v>
      </c>
      <c r="I18" s="23">
        <f>+H18-C16</f>
        <v>-587</v>
      </c>
      <c r="J18" s="42"/>
      <c r="K18" s="23"/>
    </row>
    <row r="19" spans="1:14" s="76" customFormat="1">
      <c r="A19" s="124" t="s">
        <v>71</v>
      </c>
      <c r="B19" s="125"/>
      <c r="C19" s="145">
        <f>C13-C14-C15-C18</f>
        <v>41439</v>
      </c>
      <c r="D19" s="145">
        <f>D13-D14-D15-D18</f>
        <v>0</v>
      </c>
      <c r="E19" s="166">
        <f t="shared" si="0"/>
        <v>41439</v>
      </c>
      <c r="F19" s="123">
        <f>ROUND(((+E19/E$11)*100),1)</f>
        <v>9</v>
      </c>
      <c r="G19" s="115"/>
      <c r="H19" s="114"/>
      <c r="I19" s="118"/>
      <c r="J19" s="118"/>
      <c r="K19" s="119"/>
    </row>
    <row r="20" spans="1:14">
      <c r="A20" s="46" t="s">
        <v>70</v>
      </c>
      <c r="B20" s="44"/>
      <c r="C20" s="212">
        <v>-1545</v>
      </c>
      <c r="D20" s="209"/>
      <c r="E20" s="167">
        <f t="shared" si="0"/>
        <v>-1545</v>
      </c>
      <c r="F20" s="45"/>
      <c r="G20" s="31"/>
      <c r="H20" s="253">
        <f>+E20+E17</f>
        <v>-782</v>
      </c>
      <c r="I20" s="253">
        <f>+E20+E17</f>
        <v>-782</v>
      </c>
      <c r="J20" s="26"/>
      <c r="K20" s="23"/>
    </row>
    <row r="21" spans="1:14">
      <c r="A21" s="21" t="s">
        <v>8</v>
      </c>
      <c r="B21" s="21"/>
      <c r="C21" s="151">
        <v>11124</v>
      </c>
      <c r="D21" s="48"/>
      <c r="E21" s="168">
        <f t="shared" si="0"/>
        <v>11124</v>
      </c>
      <c r="F21" s="87"/>
      <c r="G21" s="31"/>
      <c r="H21" s="6"/>
      <c r="I21" s="6"/>
      <c r="J21" s="6"/>
      <c r="K21" s="6"/>
      <c r="M21" s="20"/>
      <c r="N21" s="30"/>
    </row>
    <row r="22" spans="1:14">
      <c r="A22" s="27" t="s">
        <v>9</v>
      </c>
      <c r="B22" s="21"/>
      <c r="C22" s="150">
        <v>1566</v>
      </c>
      <c r="D22" s="47"/>
      <c r="E22" s="167">
        <f t="shared" si="0"/>
        <v>1566</v>
      </c>
      <c r="F22" s="35"/>
      <c r="G22" s="31"/>
      <c r="H22" s="19"/>
      <c r="I22" s="49"/>
      <c r="J22" s="49"/>
      <c r="K22" s="23"/>
      <c r="L22" s="20"/>
      <c r="M22" s="20"/>
      <c r="N22" s="30"/>
    </row>
    <row r="23" spans="1:14">
      <c r="A23" s="21" t="s">
        <v>10</v>
      </c>
      <c r="B23" s="21"/>
      <c r="C23" s="143">
        <f>+C21-C22</f>
        <v>9558</v>
      </c>
      <c r="D23" s="31"/>
      <c r="E23" s="168">
        <f t="shared" si="0"/>
        <v>9558</v>
      </c>
      <c r="F23" s="87"/>
      <c r="G23" s="31"/>
      <c r="H23" s="129" t="s">
        <v>10</v>
      </c>
      <c r="J23" s="26"/>
      <c r="K23" s="23"/>
    </row>
    <row r="24" spans="1:14">
      <c r="A24" s="21" t="s">
        <v>11</v>
      </c>
      <c r="B24" s="21"/>
      <c r="C24" s="151">
        <v>-4956</v>
      </c>
      <c r="D24" s="48"/>
      <c r="E24" s="168">
        <f t="shared" si="0"/>
        <v>-4956</v>
      </c>
      <c r="F24" s="32"/>
      <c r="G24" s="31"/>
      <c r="H24" s="21" t="s">
        <v>114</v>
      </c>
      <c r="I24" s="26"/>
      <c r="J24" s="26"/>
      <c r="K24" s="23"/>
    </row>
    <row r="25" spans="1:14" outlineLevel="1">
      <c r="A25" s="44" t="s">
        <v>12</v>
      </c>
      <c r="B25" s="44"/>
      <c r="C25" s="151">
        <v>-1590</v>
      </c>
      <c r="D25" s="48"/>
      <c r="E25" s="168">
        <f t="shared" si="0"/>
        <v>-1590</v>
      </c>
      <c r="F25" s="32"/>
      <c r="G25" s="31"/>
      <c r="H25" s="44" t="s">
        <v>115</v>
      </c>
      <c r="I25" s="26"/>
      <c r="J25" s="26"/>
      <c r="K25" s="23"/>
    </row>
    <row r="26" spans="1:14" ht="18" customHeight="1" outlineLevel="1">
      <c r="A26" s="34" t="s">
        <v>65</v>
      </c>
      <c r="B26" s="44"/>
      <c r="C26" s="150">
        <v>204</v>
      </c>
      <c r="D26" s="47"/>
      <c r="E26" s="167">
        <f t="shared" si="0"/>
        <v>204</v>
      </c>
      <c r="F26" s="35"/>
      <c r="G26" s="31"/>
      <c r="H26" s="25" t="s">
        <v>116</v>
      </c>
      <c r="I26" s="26"/>
      <c r="J26" s="26"/>
      <c r="K26" s="23"/>
    </row>
    <row r="27" spans="1:14" s="76" customFormat="1">
      <c r="A27" s="124" t="s">
        <v>61</v>
      </c>
      <c r="B27" s="125"/>
      <c r="C27" s="145">
        <f>C23+C24+C25+C26</f>
        <v>3216</v>
      </c>
      <c r="D27" s="121"/>
      <c r="E27" s="166">
        <f t="shared" si="0"/>
        <v>3216</v>
      </c>
      <c r="F27" s="123"/>
      <c r="G27" s="115"/>
      <c r="H27" s="114"/>
      <c r="I27" s="118"/>
      <c r="J27" s="118"/>
      <c r="K27" s="119"/>
    </row>
    <row r="28" spans="1:14" s="76" customFormat="1" ht="18" customHeight="1">
      <c r="A28" s="114" t="s">
        <v>60</v>
      </c>
      <c r="B28" s="114"/>
      <c r="C28" s="152">
        <f>C19-C20-C27</f>
        <v>39768</v>
      </c>
      <c r="D28" s="152">
        <f>D19-D20-D27</f>
        <v>0</v>
      </c>
      <c r="E28" s="169">
        <f t="shared" si="0"/>
        <v>39768</v>
      </c>
      <c r="F28" s="117"/>
      <c r="G28" s="115"/>
      <c r="H28" s="252">
        <f>+E28-E16</f>
        <v>39866</v>
      </c>
      <c r="I28" s="118"/>
      <c r="J28" s="118"/>
      <c r="K28" s="119"/>
    </row>
    <row r="29" spans="1:14">
      <c r="A29" s="25" t="s">
        <v>13</v>
      </c>
      <c r="B29" s="25"/>
      <c r="C29" s="156">
        <v>10582.665999999999</v>
      </c>
      <c r="D29" s="31"/>
      <c r="E29" s="168">
        <f t="shared" si="0"/>
        <v>10582.665999999999</v>
      </c>
      <c r="F29" s="35"/>
      <c r="G29" s="31"/>
      <c r="H29" s="25"/>
      <c r="I29" s="26"/>
      <c r="J29" s="26"/>
      <c r="K29" s="23"/>
    </row>
    <row r="30" spans="1:14">
      <c r="A30" s="34" t="s">
        <v>68</v>
      </c>
      <c r="B30" s="25"/>
      <c r="C30" s="153">
        <v>8021</v>
      </c>
      <c r="D30" s="161"/>
      <c r="E30" s="167">
        <f>+C30+D30</f>
        <v>8021</v>
      </c>
      <c r="F30" s="45"/>
      <c r="G30" s="31"/>
      <c r="H30" s="253">
        <f>+E30+E16</f>
        <v>7923</v>
      </c>
      <c r="I30" s="26"/>
      <c r="J30" s="26"/>
      <c r="K30" s="23"/>
    </row>
    <row r="31" spans="1:14" s="76" customFormat="1">
      <c r="A31" s="120" t="s">
        <v>14</v>
      </c>
      <c r="B31" s="114"/>
      <c r="C31" s="145">
        <f>C28-C29+C30</f>
        <v>37206.334000000003</v>
      </c>
      <c r="D31" s="121">
        <f>+D28-D29+D30</f>
        <v>0</v>
      </c>
      <c r="E31" s="166">
        <f t="shared" si="0"/>
        <v>37206.334000000003</v>
      </c>
      <c r="F31" s="123"/>
      <c r="G31" s="115"/>
      <c r="H31" s="114"/>
      <c r="I31" s="118"/>
      <c r="J31" s="118"/>
      <c r="K31" s="119"/>
    </row>
    <row r="32" spans="1:14">
      <c r="A32" s="25" t="s">
        <v>15</v>
      </c>
      <c r="B32" s="25"/>
      <c r="C32" s="143">
        <f>+C31-C33</f>
        <v>42408.334000000003</v>
      </c>
      <c r="D32" s="31">
        <f>+D31-D33</f>
        <v>0</v>
      </c>
      <c r="E32" s="164">
        <f t="shared" si="0"/>
        <v>42408.334000000003</v>
      </c>
      <c r="F32" s="87"/>
      <c r="G32" s="31"/>
      <c r="H32" s="25"/>
      <c r="I32" s="26"/>
      <c r="J32" s="26"/>
      <c r="K32" s="23"/>
    </row>
    <row r="33" spans="1:11">
      <c r="A33" s="34" t="s">
        <v>16</v>
      </c>
      <c r="B33" s="25"/>
      <c r="C33" s="153">
        <v>-5202</v>
      </c>
      <c r="D33" s="39"/>
      <c r="E33" s="165">
        <f t="shared" si="0"/>
        <v>-5202</v>
      </c>
      <c r="F33" s="35"/>
      <c r="G33" s="31"/>
      <c r="H33" s="25"/>
      <c r="I33" s="26"/>
      <c r="J33" s="26"/>
      <c r="K33" s="23"/>
    </row>
    <row r="34" spans="1:11">
      <c r="A34" s="25"/>
      <c r="B34" s="25"/>
      <c r="C34" s="51"/>
      <c r="D34" s="52"/>
      <c r="E34" s="23"/>
      <c r="F34" s="24"/>
      <c r="G34" s="23"/>
      <c r="H34" s="25"/>
      <c r="I34" s="26"/>
      <c r="J34" s="26"/>
      <c r="K34" s="23"/>
    </row>
    <row r="35" spans="1:11" hidden="1">
      <c r="A35" s="25"/>
      <c r="B35" s="25"/>
      <c r="C35" s="51"/>
      <c r="D35" s="52"/>
      <c r="E35" s="23"/>
      <c r="F35" s="24"/>
      <c r="G35" s="23"/>
      <c r="H35" s="25"/>
      <c r="I35" s="26"/>
      <c r="J35" s="26"/>
      <c r="K35" s="23"/>
    </row>
    <row r="36" spans="1:11" hidden="1">
      <c r="A36" s="25"/>
      <c r="B36" s="25"/>
      <c r="C36" s="51"/>
      <c r="D36" s="52"/>
      <c r="E36" s="23"/>
      <c r="F36" s="24"/>
      <c r="G36" s="23"/>
      <c r="H36" s="25"/>
      <c r="I36" s="26"/>
      <c r="J36" s="26"/>
      <c r="K36" s="23"/>
    </row>
    <row r="37" spans="1:11" hidden="1">
      <c r="A37" s="25"/>
      <c r="B37" s="25"/>
      <c r="C37" s="51"/>
      <c r="D37" s="52"/>
      <c r="E37" s="23"/>
      <c r="F37" s="24"/>
      <c r="G37" s="23"/>
      <c r="H37" s="25"/>
      <c r="I37" s="26"/>
      <c r="J37" s="26"/>
      <c r="K37" s="23"/>
    </row>
    <row r="38" spans="1:11" hidden="1">
      <c r="A38" s="60"/>
      <c r="B38" s="25"/>
      <c r="C38" s="51"/>
      <c r="D38" s="52"/>
      <c r="E38" s="23"/>
      <c r="F38" s="24"/>
      <c r="G38" s="23"/>
      <c r="H38" s="25"/>
      <c r="I38" s="26"/>
      <c r="J38" s="26"/>
      <c r="K38" s="23"/>
    </row>
    <row r="39" spans="1:11" hidden="1">
      <c r="A39" s="60"/>
      <c r="B39" s="25"/>
      <c r="C39" s="51"/>
      <c r="D39" s="52"/>
      <c r="E39" s="23"/>
      <c r="F39" s="24"/>
      <c r="G39" s="23"/>
      <c r="H39" s="25"/>
      <c r="I39" s="26"/>
      <c r="J39" s="26"/>
      <c r="K39" s="23"/>
    </row>
    <row r="40" spans="1:11" hidden="1">
      <c r="A40" s="60"/>
      <c r="B40" s="25"/>
      <c r="C40" s="51"/>
      <c r="D40" s="52"/>
      <c r="E40" s="23"/>
      <c r="F40" s="24"/>
      <c r="G40" s="23"/>
      <c r="H40" s="25"/>
      <c r="I40" s="26"/>
      <c r="J40" s="26"/>
      <c r="K40" s="23"/>
    </row>
    <row r="41" spans="1:11" hidden="1">
      <c r="A41" s="109"/>
      <c r="B41" s="25"/>
      <c r="C41" s="52"/>
      <c r="D41" s="52"/>
      <c r="E41" s="23"/>
      <c r="F41" s="24"/>
      <c r="G41" s="23"/>
      <c r="H41" s="25"/>
      <c r="I41" s="26"/>
      <c r="J41" s="26"/>
      <c r="K41" s="23"/>
    </row>
    <row r="42" spans="1:11" hidden="1">
      <c r="A42" s="109"/>
      <c r="C42" s="53"/>
      <c r="D42" s="53"/>
      <c r="E42" s="25"/>
      <c r="F42" s="25"/>
      <c r="G42" s="23"/>
      <c r="H42" s="25"/>
      <c r="I42" s="26"/>
      <c r="J42" s="26"/>
      <c r="K42" s="23"/>
    </row>
    <row r="43" spans="1:11" hidden="1">
      <c r="A43" s="113"/>
      <c r="C43" s="53"/>
      <c r="D43" s="53"/>
      <c r="E43" s="25"/>
      <c r="F43" s="25"/>
      <c r="G43" s="23"/>
      <c r="H43" s="25"/>
      <c r="I43" s="26"/>
      <c r="J43" s="26"/>
      <c r="K43" s="23"/>
    </row>
    <row r="44" spans="1:11" hidden="1">
      <c r="A44" s="113"/>
      <c r="C44" s="53"/>
      <c r="D44" s="53"/>
      <c r="E44" s="25"/>
      <c r="F44" s="25"/>
      <c r="G44" s="23"/>
      <c r="H44" s="25"/>
      <c r="I44" s="26"/>
      <c r="J44" s="26"/>
      <c r="K44" s="23"/>
    </row>
    <row r="45" spans="1:11" hidden="1">
      <c r="A45" s="113"/>
      <c r="C45" s="53"/>
      <c r="D45" s="53"/>
      <c r="E45" s="25"/>
      <c r="F45" s="25"/>
      <c r="G45" s="23"/>
      <c r="H45" s="25"/>
      <c r="I45" s="26"/>
      <c r="J45" s="26"/>
      <c r="K45" s="23"/>
    </row>
    <row r="46" spans="1:11" hidden="1">
      <c r="A46" s="113"/>
      <c r="C46" s="53"/>
      <c r="D46" s="53"/>
      <c r="E46" s="25"/>
      <c r="F46" s="25"/>
      <c r="G46" s="23"/>
      <c r="H46" s="25"/>
      <c r="I46" s="26"/>
      <c r="J46" s="26"/>
      <c r="K46" s="23"/>
    </row>
    <row r="47" spans="1:11" hidden="1">
      <c r="A47" s="113"/>
      <c r="C47" s="53"/>
      <c r="D47" s="53"/>
      <c r="E47" s="25"/>
      <c r="F47" s="25"/>
      <c r="G47" s="23"/>
      <c r="H47" s="25"/>
      <c r="I47" s="26"/>
      <c r="J47" s="26"/>
      <c r="K47" s="23"/>
    </row>
    <row r="48" spans="1:11" hidden="1">
      <c r="A48" s="126"/>
      <c r="C48" s="53"/>
      <c r="D48" s="53"/>
      <c r="E48" s="25"/>
      <c r="F48" s="25"/>
      <c r="G48" s="23"/>
      <c r="H48" s="25"/>
      <c r="I48" s="26"/>
      <c r="J48" s="26"/>
      <c r="K48" s="23"/>
    </row>
    <row r="49" spans="1:11" hidden="1">
      <c r="A49" s="109"/>
      <c r="C49" s="53"/>
      <c r="D49" s="53"/>
      <c r="E49" s="25"/>
      <c r="F49" s="25"/>
      <c r="G49" s="23"/>
      <c r="H49" s="25"/>
      <c r="I49" s="26"/>
      <c r="J49" s="26"/>
      <c r="K49" s="23"/>
    </row>
    <row r="50" spans="1:11" hidden="1">
      <c r="A50" s="78"/>
      <c r="C50" s="53"/>
      <c r="D50" s="53"/>
      <c r="E50" s="25"/>
      <c r="F50" s="25"/>
      <c r="G50" s="23"/>
      <c r="H50" s="25"/>
      <c r="I50" s="26"/>
      <c r="J50" s="26"/>
      <c r="K50" s="23"/>
    </row>
    <row r="51" spans="1:11" hidden="1">
      <c r="A51" s="109"/>
      <c r="C51" s="53"/>
      <c r="D51" s="53"/>
      <c r="E51" s="25"/>
      <c r="F51" s="25"/>
      <c r="G51" s="23"/>
      <c r="H51" s="25"/>
      <c r="I51" s="26"/>
      <c r="J51" s="26"/>
      <c r="K51" s="23"/>
    </row>
    <row r="52" spans="1:11" hidden="1">
      <c r="A52" s="109"/>
      <c r="C52" s="53"/>
      <c r="D52" s="53"/>
      <c r="E52" s="25"/>
      <c r="F52" s="25"/>
      <c r="G52" s="23"/>
      <c r="H52" s="25"/>
      <c r="I52" s="26"/>
      <c r="J52" s="26"/>
      <c r="K52" s="23"/>
    </row>
    <row r="53" spans="1:11" hidden="1">
      <c r="A53" s="109"/>
      <c r="C53" s="53"/>
      <c r="D53" s="53"/>
      <c r="E53" s="25"/>
      <c r="F53" s="25"/>
      <c r="G53" s="23"/>
      <c r="H53" s="25"/>
      <c r="I53" s="26"/>
      <c r="J53" s="26"/>
      <c r="K53" s="23"/>
    </row>
    <row r="54" spans="1:11" hidden="1">
      <c r="A54" s="78"/>
      <c r="C54" s="55"/>
      <c r="D54" s="55"/>
      <c r="E54" s="56"/>
      <c r="F54" s="56"/>
      <c r="G54" s="23"/>
      <c r="H54" s="6"/>
      <c r="I54" s="6"/>
      <c r="J54" s="6"/>
      <c r="K54" s="6"/>
    </row>
    <row r="55" spans="1:11" hidden="1">
      <c r="A55" s="109"/>
      <c r="C55" s="55"/>
      <c r="D55" s="55"/>
      <c r="E55" s="56"/>
      <c r="F55" s="56"/>
      <c r="G55" s="23"/>
      <c r="H55" s="6"/>
      <c r="I55" s="6"/>
      <c r="J55" s="6"/>
      <c r="K55" s="6"/>
    </row>
    <row r="56" spans="1:11" hidden="1">
      <c r="A56" s="109"/>
      <c r="C56" s="55"/>
      <c r="D56" s="55"/>
      <c r="E56" s="56"/>
      <c r="F56" s="56"/>
      <c r="G56" s="23"/>
      <c r="H56" s="6"/>
      <c r="I56" s="6"/>
      <c r="J56" s="6"/>
      <c r="K56" s="6"/>
    </row>
    <row r="57" spans="1:11" hidden="1">
      <c r="A57" s="78"/>
      <c r="C57" s="55"/>
      <c r="D57" s="55"/>
      <c r="E57" s="56"/>
      <c r="F57" s="56"/>
      <c r="G57" s="23"/>
      <c r="H57" s="6"/>
      <c r="I57" s="6"/>
      <c r="J57" s="6"/>
      <c r="K57" s="6"/>
    </row>
    <row r="58" spans="1:11" hidden="1">
      <c r="A58" s="78"/>
      <c r="C58" s="55"/>
      <c r="D58" s="55"/>
      <c r="E58" s="56"/>
      <c r="F58" s="56"/>
      <c r="G58" s="23"/>
      <c r="H58" s="6"/>
      <c r="I58" s="6"/>
      <c r="J58" s="6"/>
      <c r="K58" s="6"/>
    </row>
    <row r="59" spans="1:11" hidden="1">
      <c r="A59" s="109"/>
      <c r="C59" s="55"/>
      <c r="D59" s="55"/>
      <c r="E59" s="56"/>
      <c r="F59" s="56"/>
      <c r="G59" s="23"/>
      <c r="H59" s="6"/>
      <c r="I59" s="6"/>
      <c r="J59" s="6"/>
      <c r="K59" s="6"/>
    </row>
    <row r="60" spans="1:11" hidden="1">
      <c r="A60" s="109"/>
      <c r="C60" s="55"/>
      <c r="D60" s="55"/>
      <c r="E60" s="56"/>
      <c r="F60" s="56"/>
      <c r="G60" s="23"/>
      <c r="H60" s="6"/>
      <c r="I60" s="6"/>
      <c r="J60" s="6"/>
      <c r="K60" s="6"/>
    </row>
    <row r="61" spans="1:11" hidden="1">
      <c r="C61" s="55"/>
      <c r="D61" s="55"/>
      <c r="E61" s="56"/>
      <c r="F61" s="56"/>
      <c r="G61" s="23"/>
      <c r="H61" s="6"/>
      <c r="I61" s="6"/>
      <c r="J61" s="6"/>
      <c r="K61" s="6"/>
    </row>
    <row r="62" spans="1:11" hidden="1">
      <c r="C62" s="55"/>
      <c r="D62" s="55"/>
      <c r="E62" s="56"/>
      <c r="F62" s="56"/>
      <c r="G62" s="23"/>
      <c r="H62" s="6"/>
      <c r="I62" s="6"/>
      <c r="J62" s="6"/>
      <c r="K62" s="6"/>
    </row>
    <row r="63" spans="1:11" hidden="1">
      <c r="C63" s="55"/>
      <c r="D63" s="55"/>
      <c r="E63" s="56"/>
      <c r="F63" s="56"/>
      <c r="G63" s="23"/>
      <c r="H63" s="6"/>
      <c r="I63" s="6"/>
      <c r="J63" s="6"/>
      <c r="K63" s="6"/>
    </row>
    <row r="64" spans="1:11" hidden="1">
      <c r="C64" s="55"/>
      <c r="D64" s="55"/>
      <c r="E64" s="56"/>
      <c r="F64" s="56"/>
      <c r="G64" s="23"/>
      <c r="H64" s="6"/>
      <c r="I64" s="6"/>
      <c r="J64" s="6"/>
      <c r="K64" s="6"/>
    </row>
    <row r="65" spans="1:11" hidden="1">
      <c r="C65" s="55"/>
      <c r="D65" s="55"/>
      <c r="E65" s="56"/>
      <c r="F65" s="56"/>
      <c r="G65" s="23"/>
      <c r="H65" s="6"/>
      <c r="I65" s="6"/>
      <c r="J65" s="6"/>
      <c r="K65" s="6"/>
    </row>
    <row r="66" spans="1:11" hidden="1">
      <c r="C66" s="55"/>
      <c r="D66" s="55"/>
      <c r="E66" s="56"/>
      <c r="F66" s="56"/>
      <c r="G66" s="23"/>
      <c r="H66" s="6"/>
      <c r="I66" s="6"/>
      <c r="J66" s="6"/>
      <c r="K66" s="6"/>
    </row>
    <row r="67" spans="1:11" hidden="1">
      <c r="C67" s="55"/>
      <c r="D67" s="55"/>
      <c r="E67" s="56"/>
      <c r="F67" s="56"/>
      <c r="G67" s="23"/>
      <c r="H67" s="6"/>
      <c r="I67" s="6"/>
      <c r="J67" s="6"/>
      <c r="K67" s="6"/>
    </row>
    <row r="68" spans="1:11" hidden="1">
      <c r="C68" s="55"/>
      <c r="D68" s="55"/>
      <c r="E68" s="56"/>
      <c r="F68" s="56"/>
      <c r="G68" s="23"/>
      <c r="H68" s="6"/>
      <c r="I68" s="6"/>
      <c r="J68" s="6"/>
      <c r="K68" s="6"/>
    </row>
    <row r="69" spans="1:11">
      <c r="C69" s="55"/>
      <c r="D69" s="55"/>
      <c r="E69" s="56"/>
      <c r="F69" s="56"/>
      <c r="G69" s="23"/>
      <c r="H69" s="6"/>
      <c r="I69" s="6"/>
      <c r="J69" s="6"/>
      <c r="K69" s="6"/>
    </row>
    <row r="70" spans="1:11" ht="28.5">
      <c r="C70" s="91" t="s">
        <v>120</v>
      </c>
      <c r="D70" s="90" t="s">
        <v>39</v>
      </c>
      <c r="E70" s="91" t="s">
        <v>121</v>
      </c>
      <c r="F70" s="17" t="s">
        <v>4</v>
      </c>
      <c r="G70" s="23"/>
      <c r="H70" s="6"/>
      <c r="I70" s="6"/>
      <c r="J70" s="6"/>
      <c r="K70" s="6"/>
    </row>
    <row r="71" spans="1:11">
      <c r="A71" s="57" t="s">
        <v>64</v>
      </c>
      <c r="B71" s="19"/>
      <c r="C71" s="58"/>
      <c r="D71" s="58"/>
      <c r="E71" s="59"/>
      <c r="F71" s="16"/>
      <c r="G71" s="60"/>
      <c r="H71" s="6"/>
      <c r="I71" s="61"/>
      <c r="J71" s="61"/>
      <c r="K71" s="6"/>
    </row>
    <row r="72" spans="1:11" ht="15.75" customHeight="1">
      <c r="A72" s="43" t="s">
        <v>62</v>
      </c>
      <c r="B72" s="44"/>
      <c r="C72" s="162">
        <f>+C19</f>
        <v>41439</v>
      </c>
      <c r="D72" s="37">
        <f>+D19</f>
        <v>0</v>
      </c>
      <c r="E72" s="147">
        <f>+C72+D72</f>
        <v>41439</v>
      </c>
      <c r="F72" s="127">
        <f>F19</f>
        <v>9</v>
      </c>
      <c r="G72" s="31"/>
      <c r="H72" s="19"/>
      <c r="I72" s="63"/>
      <c r="J72" s="63"/>
      <c r="K72" s="6"/>
    </row>
    <row r="73" spans="1:11" ht="15.75" customHeight="1">
      <c r="A73" s="6" t="s">
        <v>17</v>
      </c>
      <c r="C73" s="143">
        <v>15613</v>
      </c>
      <c r="D73" s="31"/>
      <c r="E73" s="148">
        <f t="shared" ref="E73:E76" si="1">+C73+D73</f>
        <v>15613</v>
      </c>
      <c r="F73" s="62">
        <f>ROUND(((+E73/E$11)*100),1)</f>
        <v>3.4</v>
      </c>
      <c r="G73" s="85"/>
      <c r="H73" s="6"/>
      <c r="I73" s="42"/>
      <c r="J73" s="42"/>
      <c r="K73" s="6"/>
    </row>
    <row r="74" spans="1:11" ht="15.75" customHeight="1">
      <c r="A74" s="64" t="s">
        <v>76</v>
      </c>
      <c r="B74" s="25"/>
      <c r="C74" s="154">
        <f>+C75-C73-C72</f>
        <v>4366</v>
      </c>
      <c r="D74" s="81">
        <f>+D75-D73-D72</f>
        <v>0</v>
      </c>
      <c r="E74" s="81">
        <f t="shared" si="1"/>
        <v>4366</v>
      </c>
      <c r="F74" s="62">
        <f>F75-F72-F73</f>
        <v>0.9000000000000008</v>
      </c>
      <c r="G74" s="85"/>
      <c r="H74" s="6"/>
      <c r="I74" s="42"/>
      <c r="J74" s="42"/>
      <c r="K74" s="66"/>
    </row>
    <row r="75" spans="1:11" ht="15.75" customHeight="1">
      <c r="A75" s="67" t="s">
        <v>63</v>
      </c>
      <c r="B75" s="25"/>
      <c r="C75" s="146">
        <v>61418</v>
      </c>
      <c r="D75" s="68"/>
      <c r="E75" s="149">
        <f t="shared" si="1"/>
        <v>61418</v>
      </c>
      <c r="F75" s="69">
        <f>ROUND(((+E75/E$11)*100),1)</f>
        <v>13.3</v>
      </c>
      <c r="G75" s="31"/>
      <c r="H75" s="6"/>
      <c r="I75" s="42"/>
      <c r="J75" s="42"/>
      <c r="K75" s="6"/>
    </row>
    <row r="76" spans="1:11" s="76" customFormat="1" ht="15.75" customHeight="1">
      <c r="A76" s="140" t="s">
        <v>18</v>
      </c>
      <c r="B76" s="77"/>
      <c r="C76" s="163"/>
      <c r="D76" s="70"/>
      <c r="E76" s="70">
        <f t="shared" si="1"/>
        <v>0</v>
      </c>
      <c r="F76" s="141"/>
      <c r="H76" s="77"/>
      <c r="I76" s="116"/>
      <c r="J76" s="116"/>
      <c r="K76" s="77"/>
    </row>
    <row r="77" spans="1:11" ht="19.5" customHeight="1">
      <c r="C77" s="71"/>
      <c r="D77" s="72"/>
      <c r="E77" s="72"/>
      <c r="F77" s="73"/>
      <c r="H77" s="1"/>
      <c r="I77" s="42"/>
      <c r="J77" s="42"/>
      <c r="K77" s="6"/>
    </row>
  </sheetData>
  <mergeCells count="5">
    <mergeCell ref="A1:G1"/>
    <mergeCell ref="A2:G2"/>
    <mergeCell ref="A3:G3"/>
    <mergeCell ref="A4:F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8193" r:id="rId5">
          <objectPr defaultSize="0" autoPict="0" r:id="rId6">
            <anchor moveWithCells="1" sizeWithCells="1">
              <from>
                <xdr:col>3</xdr:col>
                <xdr:colOff>0</xdr:colOff>
                <xdr:row>76</xdr:row>
                <xdr:rowOff>12700</xdr:rowOff>
              </from>
              <to>
                <xdr:col>3</xdr:col>
                <xdr:colOff>0</xdr:colOff>
                <xdr:row>77</xdr:row>
                <xdr:rowOff>0</xdr:rowOff>
              </to>
            </anchor>
          </objectPr>
        </oleObject>
      </mc:Choice>
      <mc:Fallback>
        <oleObject progId="Word.Picture.8" shapeId="8193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7"/>
  <sheetViews>
    <sheetView showGridLines="0" view="pageBreakPreview" topLeftCell="A11" zoomScale="84" zoomScaleSheetLayoutView="84" workbookViewId="0">
      <selection activeCell="C13" sqref="C13"/>
    </sheetView>
  </sheetViews>
  <sheetFormatPr defaultColWidth="9.81640625" defaultRowHeight="15.5" outlineLevelRow="1"/>
  <cols>
    <col min="1" max="1" width="49.26953125" style="93" customWidth="1"/>
    <col min="2" max="2" width="1.453125" style="97" customWidth="1"/>
    <col min="3" max="5" width="10.7265625" style="93" customWidth="1"/>
    <col min="6" max="6" width="15.1796875" style="93" customWidth="1"/>
    <col min="7" max="7" width="13.1796875" style="93" customWidth="1"/>
    <col min="8" max="8" width="22.453125" style="93" customWidth="1"/>
    <col min="9" max="9" width="9.81640625" style="93" customWidth="1"/>
    <col min="10" max="10" width="5" style="93" customWidth="1"/>
    <col min="11" max="11" width="5.1796875" style="93" customWidth="1"/>
    <col min="12" max="16384" width="9.81640625" style="93"/>
  </cols>
  <sheetData>
    <row r="1" spans="1:12" ht="36" customHeight="1">
      <c r="A1" s="923" t="s">
        <v>0</v>
      </c>
      <c r="B1" s="923"/>
      <c r="C1" s="923"/>
      <c r="D1" s="923"/>
      <c r="E1" s="923"/>
      <c r="G1" s="94"/>
      <c r="H1" s="94"/>
      <c r="I1" s="94"/>
    </row>
    <row r="2" spans="1:12" ht="15" customHeight="1">
      <c r="A2" s="924" t="s">
        <v>1</v>
      </c>
      <c r="B2" s="924"/>
      <c r="C2" s="924"/>
      <c r="D2" s="924"/>
      <c r="E2" s="924"/>
      <c r="F2" s="95"/>
      <c r="G2" s="96"/>
      <c r="H2" s="96"/>
      <c r="I2" s="96"/>
    </row>
    <row r="3" spans="1:12" ht="15" customHeight="1">
      <c r="A3" s="925" t="s">
        <v>66</v>
      </c>
      <c r="B3" s="925"/>
      <c r="C3" s="925"/>
      <c r="D3" s="925"/>
      <c r="E3" s="925"/>
      <c r="F3" s="95"/>
      <c r="G3" s="96"/>
      <c r="H3" s="96"/>
      <c r="I3" s="96"/>
    </row>
    <row r="4" spans="1:12" ht="18">
      <c r="A4" s="922"/>
      <c r="B4" s="922"/>
      <c r="C4" s="922"/>
      <c r="D4" s="922"/>
      <c r="E4" s="922"/>
      <c r="F4" s="95"/>
      <c r="G4" s="95"/>
      <c r="H4" s="95"/>
      <c r="I4" s="95"/>
      <c r="J4" s="95"/>
      <c r="K4" s="95"/>
      <c r="L4" s="97"/>
    </row>
    <row r="5" spans="1:12">
      <c r="A5" s="99"/>
      <c r="B5" s="101"/>
      <c r="C5" s="99"/>
      <c r="D5" s="99"/>
      <c r="E5" s="99"/>
      <c r="F5" s="101"/>
      <c r="G5" s="100"/>
      <c r="H5" s="100"/>
      <c r="I5" s="10"/>
    </row>
    <row r="6" spans="1:12">
      <c r="A6" s="11"/>
      <c r="B6" s="11"/>
      <c r="C6" s="921"/>
      <c r="D6" s="921"/>
      <c r="E6" s="921"/>
      <c r="F6" s="97"/>
      <c r="G6" s="128"/>
      <c r="H6" s="128"/>
      <c r="I6" s="97"/>
    </row>
    <row r="7" spans="1:12" hidden="1">
      <c r="A7" s="11"/>
      <c r="B7" s="11"/>
      <c r="C7" s="157"/>
      <c r="D7" s="157"/>
      <c r="E7" s="157"/>
      <c r="F7" s="97"/>
      <c r="G7" s="128"/>
      <c r="H7" s="128"/>
      <c r="I7" s="97"/>
    </row>
    <row r="8" spans="1:12" ht="31">
      <c r="A8" s="14"/>
      <c r="B8" s="15"/>
      <c r="C8" s="90" t="s">
        <v>163</v>
      </c>
      <c r="D8" s="75" t="s">
        <v>89</v>
      </c>
      <c r="E8" s="90" t="s">
        <v>164</v>
      </c>
      <c r="F8" s="103"/>
    </row>
    <row r="9" spans="1:12">
      <c r="A9" s="105" t="s">
        <v>5</v>
      </c>
      <c r="B9" s="105"/>
      <c r="C9" s="143">
        <v>122502</v>
      </c>
      <c r="D9" s="143"/>
      <c r="E9" s="143">
        <f t="shared" ref="E9:E31" si="0">+C9+D9</f>
        <v>122502</v>
      </c>
    </row>
    <row r="10" spans="1:12">
      <c r="A10" s="104" t="s">
        <v>6</v>
      </c>
      <c r="B10" s="105"/>
      <c r="C10" s="153">
        <v>74788</v>
      </c>
      <c r="D10" s="153"/>
      <c r="E10" s="153">
        <f t="shared" si="0"/>
        <v>74788</v>
      </c>
    </row>
    <row r="11" spans="1:12">
      <c r="A11" s="104" t="s">
        <v>7</v>
      </c>
      <c r="B11" s="105"/>
      <c r="C11" s="153">
        <f>C9-C10</f>
        <v>47714</v>
      </c>
      <c r="D11" s="153"/>
      <c r="E11" s="153">
        <f t="shared" si="0"/>
        <v>47714</v>
      </c>
      <c r="F11" s="103">
        <f>+E9-E10</f>
        <v>47714</v>
      </c>
    </row>
    <row r="12" spans="1:12">
      <c r="A12" s="131" t="s">
        <v>34</v>
      </c>
      <c r="B12" s="129"/>
      <c r="C12" s="143">
        <v>4594</v>
      </c>
      <c r="D12" s="143"/>
      <c r="E12" s="143">
        <f t="shared" si="0"/>
        <v>4594</v>
      </c>
    </row>
    <row r="13" spans="1:12">
      <c r="A13" s="131" t="s">
        <v>35</v>
      </c>
      <c r="B13" s="129"/>
      <c r="C13" s="143">
        <v>29407</v>
      </c>
      <c r="D13" s="143">
        <f>-D12</f>
        <v>0</v>
      </c>
      <c r="E13" s="143">
        <f t="shared" si="0"/>
        <v>29407</v>
      </c>
    </row>
    <row r="14" spans="1:12" outlineLevel="1">
      <c r="A14" s="25" t="s">
        <v>74</v>
      </c>
      <c r="B14" s="105"/>
      <c r="C14" s="143">
        <v>-103</v>
      </c>
      <c r="D14" s="143"/>
      <c r="E14" s="143">
        <f>+C14+D14</f>
        <v>-103</v>
      </c>
    </row>
    <row r="15" spans="1:12" outlineLevel="1">
      <c r="A15" s="25" t="s">
        <v>69</v>
      </c>
      <c r="B15" s="105"/>
      <c r="C15" s="857">
        <v>592</v>
      </c>
      <c r="D15" s="143"/>
      <c r="E15" s="143">
        <f>+C15+D15</f>
        <v>592</v>
      </c>
    </row>
    <row r="16" spans="1:12">
      <c r="A16" s="25" t="s">
        <v>75</v>
      </c>
      <c r="B16" s="93"/>
      <c r="C16" s="103">
        <f>+C15-C14</f>
        <v>695</v>
      </c>
      <c r="D16" s="103">
        <f>+D15-D14</f>
        <v>0</v>
      </c>
      <c r="E16" s="143">
        <f>+C16+D16</f>
        <v>695</v>
      </c>
    </row>
    <row r="17" spans="1:6" s="108" customFormat="1">
      <c r="A17" s="124" t="s">
        <v>73</v>
      </c>
      <c r="B17" s="133"/>
      <c r="C17" s="145">
        <f>C11-C12-C13-C16</f>
        <v>13018</v>
      </c>
      <c r="D17" s="145">
        <f>-D16</f>
        <v>0</v>
      </c>
      <c r="E17" s="145">
        <f t="shared" si="0"/>
        <v>13018</v>
      </c>
    </row>
    <row r="18" spans="1:6">
      <c r="A18" s="46" t="s">
        <v>70</v>
      </c>
      <c r="B18" s="131"/>
      <c r="C18" s="858">
        <v>27890</v>
      </c>
      <c r="D18" s="150"/>
      <c r="E18" s="150">
        <f t="shared" si="0"/>
        <v>27890</v>
      </c>
      <c r="F18" s="103">
        <f>+E18+E15</f>
        <v>28482</v>
      </c>
    </row>
    <row r="19" spans="1:6">
      <c r="A19" s="129" t="s">
        <v>8</v>
      </c>
      <c r="B19" s="129"/>
      <c r="C19" s="151">
        <v>2601</v>
      </c>
      <c r="D19" s="151"/>
      <c r="E19" s="151">
        <f t="shared" si="0"/>
        <v>2601</v>
      </c>
    </row>
    <row r="20" spans="1:6">
      <c r="A20" s="130" t="s">
        <v>9</v>
      </c>
      <c r="B20" s="129"/>
      <c r="C20" s="150">
        <v>488</v>
      </c>
      <c r="D20" s="150"/>
      <c r="E20" s="150">
        <f t="shared" si="0"/>
        <v>488</v>
      </c>
    </row>
    <row r="21" spans="1:6">
      <c r="A21" s="129" t="s">
        <v>10</v>
      </c>
      <c r="B21" s="129"/>
      <c r="C21" s="143">
        <f>+C19-C20</f>
        <v>2113</v>
      </c>
      <c r="D21" s="143">
        <f>+SUM(D19:D20)</f>
        <v>0</v>
      </c>
      <c r="E21" s="143">
        <f t="shared" si="0"/>
        <v>2113</v>
      </c>
    </row>
    <row r="22" spans="1:6">
      <c r="A22" s="21" t="s">
        <v>114</v>
      </c>
      <c r="B22" s="129"/>
      <c r="C22" s="151">
        <v>-6350</v>
      </c>
      <c r="D22" s="151"/>
      <c r="E22" s="151">
        <f t="shared" si="0"/>
        <v>-6350</v>
      </c>
    </row>
    <row r="23" spans="1:6">
      <c r="A23" s="44" t="s">
        <v>115</v>
      </c>
      <c r="B23" s="131"/>
      <c r="C23" s="151">
        <v>-460</v>
      </c>
      <c r="D23" s="151"/>
      <c r="E23" s="151">
        <f t="shared" si="0"/>
        <v>-460</v>
      </c>
    </row>
    <row r="24" spans="1:6" ht="18" customHeight="1">
      <c r="A24" s="25" t="s">
        <v>116</v>
      </c>
      <c r="B24" s="131"/>
      <c r="C24" s="150">
        <v>861</v>
      </c>
      <c r="D24" s="150"/>
      <c r="E24" s="150">
        <f t="shared" si="0"/>
        <v>861</v>
      </c>
    </row>
    <row r="25" spans="1:6" s="108" customFormat="1">
      <c r="A25" s="132" t="s">
        <v>61</v>
      </c>
      <c r="B25" s="133"/>
      <c r="C25" s="145">
        <f>C21+C22+C23+C24</f>
        <v>-3836</v>
      </c>
      <c r="D25" s="145">
        <f>-D23</f>
        <v>0</v>
      </c>
      <c r="E25" s="145">
        <f t="shared" si="0"/>
        <v>-3836</v>
      </c>
    </row>
    <row r="26" spans="1:6" s="108" customFormat="1" ht="18" customHeight="1">
      <c r="A26" s="134" t="s">
        <v>60</v>
      </c>
      <c r="B26" s="134"/>
      <c r="C26" s="152">
        <f>C17-C18-C25</f>
        <v>-11036</v>
      </c>
      <c r="D26" s="152">
        <f>+D17+D18-D25-D28</f>
        <v>0</v>
      </c>
      <c r="E26" s="152">
        <f t="shared" si="0"/>
        <v>-11036</v>
      </c>
      <c r="F26" s="208">
        <f>+E26-E14</f>
        <v>-10933</v>
      </c>
    </row>
    <row r="27" spans="1:6" s="97" customFormat="1">
      <c r="A27" s="105" t="s">
        <v>13</v>
      </c>
      <c r="B27" s="105"/>
      <c r="C27" s="156">
        <v>1116.7921026718109</v>
      </c>
      <c r="D27" s="156"/>
      <c r="E27" s="156">
        <f t="shared" si="0"/>
        <v>1116.7921026718109</v>
      </c>
      <c r="F27" s="245"/>
    </row>
    <row r="28" spans="1:6">
      <c r="A28" s="104" t="s">
        <v>68</v>
      </c>
      <c r="B28" s="105"/>
      <c r="C28" s="153">
        <v>2454</v>
      </c>
      <c r="D28" s="153"/>
      <c r="E28" s="153">
        <f>+C28+D28</f>
        <v>2454</v>
      </c>
      <c r="F28" s="103">
        <f>+E28+E14</f>
        <v>2351</v>
      </c>
    </row>
    <row r="29" spans="1:6" s="108" customFormat="1">
      <c r="A29" s="135" t="s">
        <v>14</v>
      </c>
      <c r="B29" s="134"/>
      <c r="C29" s="145">
        <f>C26-C27+C28</f>
        <v>-9698.7921026718104</v>
      </c>
      <c r="D29" s="145">
        <f>+D26-D27</f>
        <v>0</v>
      </c>
      <c r="E29" s="145">
        <f t="shared" si="0"/>
        <v>-9698.7921026718104</v>
      </c>
      <c r="F29" s="208"/>
    </row>
    <row r="30" spans="1:6">
      <c r="A30" s="105" t="s">
        <v>15</v>
      </c>
      <c r="B30" s="105"/>
      <c r="C30" s="143">
        <f>+C29-C31</f>
        <v>1828.2078973281896</v>
      </c>
      <c r="D30" s="143">
        <f>+D29-D31</f>
        <v>0</v>
      </c>
      <c r="E30" s="143">
        <f t="shared" si="0"/>
        <v>1828.2078973281896</v>
      </c>
    </row>
    <row r="31" spans="1:6">
      <c r="A31" s="104" t="s">
        <v>16</v>
      </c>
      <c r="B31" s="105"/>
      <c r="C31" s="153">
        <v>-11527</v>
      </c>
      <c r="D31" s="153"/>
      <c r="E31" s="153">
        <f t="shared" si="0"/>
        <v>-11527</v>
      </c>
    </row>
    <row r="32" spans="1:6">
      <c r="A32" s="105"/>
      <c r="B32" s="105"/>
      <c r="C32" s="854">
        <f>+C27/C26</f>
        <v>-0.10119536994126593</v>
      </c>
      <c r="D32" s="51"/>
      <c r="E32" s="51"/>
    </row>
    <row r="33" spans="1:5">
      <c r="A33" s="109"/>
      <c r="C33" s="53"/>
      <c r="D33" s="53"/>
      <c r="E33" s="53"/>
    </row>
    <row r="34" spans="1:5" hidden="1">
      <c r="A34" s="136"/>
      <c r="C34" s="55"/>
      <c r="D34" s="55"/>
      <c r="E34" s="55"/>
    </row>
    <row r="35" spans="1:5" hidden="1">
      <c r="A35" s="109"/>
      <c r="C35" s="55"/>
      <c r="D35" s="55"/>
      <c r="E35" s="55"/>
    </row>
    <row r="36" spans="1:5" hidden="1">
      <c r="A36" s="109"/>
      <c r="C36" s="55"/>
      <c r="D36" s="55"/>
      <c r="E36" s="55"/>
    </row>
    <row r="37" spans="1:5" hidden="1">
      <c r="A37" s="136"/>
      <c r="C37" s="55"/>
      <c r="D37" s="55"/>
      <c r="E37" s="55"/>
    </row>
    <row r="38" spans="1:5" hidden="1">
      <c r="A38" s="136"/>
      <c r="C38" s="55"/>
      <c r="D38" s="55"/>
      <c r="E38" s="55"/>
    </row>
    <row r="39" spans="1:5" hidden="1">
      <c r="A39" s="109"/>
      <c r="C39" s="55"/>
      <c r="D39" s="55"/>
      <c r="E39" s="55"/>
    </row>
    <row r="40" spans="1:5" hidden="1">
      <c r="A40" s="109"/>
      <c r="C40" s="55"/>
      <c r="D40" s="55"/>
      <c r="E40" s="55"/>
    </row>
    <row r="41" spans="1:5" hidden="1">
      <c r="C41" s="55"/>
      <c r="D41" s="55"/>
      <c r="E41" s="55"/>
    </row>
    <row r="42" spans="1:5" hidden="1">
      <c r="C42" s="55"/>
      <c r="D42" s="55"/>
      <c r="E42" s="55"/>
    </row>
    <row r="43" spans="1:5" hidden="1">
      <c r="C43" s="55"/>
      <c r="D43" s="55"/>
      <c r="E43" s="55"/>
    </row>
    <row r="44" spans="1:5" hidden="1">
      <c r="C44" s="55"/>
      <c r="D44" s="55"/>
      <c r="E44" s="55"/>
    </row>
    <row r="45" spans="1:5" hidden="1">
      <c r="C45" s="55"/>
      <c r="D45" s="55"/>
      <c r="E45" s="55"/>
    </row>
    <row r="46" spans="1:5" hidden="1">
      <c r="C46" s="55"/>
      <c r="D46" s="55"/>
      <c r="E46" s="55"/>
    </row>
    <row r="47" spans="1:5" hidden="1">
      <c r="C47" s="55"/>
      <c r="D47" s="55"/>
      <c r="E47" s="55"/>
    </row>
    <row r="48" spans="1:5" hidden="1">
      <c r="C48" s="55"/>
      <c r="D48" s="55"/>
      <c r="E48" s="55"/>
    </row>
    <row r="49" spans="1:9" hidden="1">
      <c r="C49" s="55"/>
      <c r="D49" s="55"/>
      <c r="E49" s="55"/>
    </row>
    <row r="50" spans="1:9" ht="31">
      <c r="C50" s="90" t="s">
        <v>144</v>
      </c>
      <c r="D50" s="75" t="s">
        <v>89</v>
      </c>
      <c r="E50" s="90" t="s">
        <v>145</v>
      </c>
    </row>
    <row r="51" spans="1:9">
      <c r="A51" s="102" t="s">
        <v>64</v>
      </c>
      <c r="B51" s="106"/>
      <c r="C51" s="137"/>
      <c r="D51" s="137"/>
      <c r="E51" s="137"/>
    </row>
    <row r="52" spans="1:9" ht="15.75" customHeight="1">
      <c r="A52" s="138" t="s">
        <v>62</v>
      </c>
      <c r="B52" s="131"/>
      <c r="C52" s="144">
        <f>+C17</f>
        <v>13018</v>
      </c>
      <c r="D52" s="144">
        <f>+D17</f>
        <v>0</v>
      </c>
      <c r="E52" s="144">
        <f t="shared" ref="E52:E56" si="1">+C52+D52</f>
        <v>13018</v>
      </c>
    </row>
    <row r="53" spans="1:9" ht="15.75" customHeight="1">
      <c r="A53" s="97" t="s">
        <v>17</v>
      </c>
      <c r="C53" s="143">
        <v>4229</v>
      </c>
      <c r="D53" s="143"/>
      <c r="E53" s="143">
        <f t="shared" si="1"/>
        <v>4229</v>
      </c>
    </row>
    <row r="54" spans="1:9" ht="15.75" customHeight="1">
      <c r="A54" s="64" t="s">
        <v>76</v>
      </c>
      <c r="B54" s="105"/>
      <c r="C54" s="154">
        <f>+C55-C53-C52</f>
        <v>1298</v>
      </c>
      <c r="D54" s="143">
        <f>+D55-D53-D52</f>
        <v>0</v>
      </c>
      <c r="E54" s="154">
        <f t="shared" si="1"/>
        <v>1298</v>
      </c>
    </row>
    <row r="55" spans="1:9" ht="15.75" customHeight="1">
      <c r="A55" s="139" t="s">
        <v>63</v>
      </c>
      <c r="B55" s="105"/>
      <c r="C55" s="146">
        <v>18545</v>
      </c>
      <c r="D55" s="146"/>
      <c r="E55" s="146">
        <f t="shared" si="1"/>
        <v>18545</v>
      </c>
    </row>
    <row r="56" spans="1:9" s="108" customFormat="1" ht="15.75" customHeight="1">
      <c r="A56" s="142" t="s">
        <v>18</v>
      </c>
      <c r="B56" s="107"/>
      <c r="C56" s="155"/>
      <c r="D56" s="155"/>
      <c r="E56" s="155">
        <f t="shared" si="1"/>
        <v>0</v>
      </c>
    </row>
    <row r="57" spans="1:9" ht="19.5" customHeight="1">
      <c r="C57" s="71"/>
      <c r="D57" s="71"/>
      <c r="E57" s="71"/>
      <c r="F57" s="92"/>
      <c r="G57" s="42"/>
      <c r="H57" s="42"/>
      <c r="I57" s="97"/>
    </row>
  </sheetData>
  <mergeCells count="5">
    <mergeCell ref="A4:E4"/>
    <mergeCell ref="C6:E6"/>
    <mergeCell ref="A1:E1"/>
    <mergeCell ref="A2:E2"/>
    <mergeCell ref="A3:E3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ignoredErrors>
    <ignoredError sqref="E16 E52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5</xdr:col>
                <xdr:colOff>0</xdr:colOff>
                <xdr:row>56</xdr:row>
                <xdr:rowOff>12700</xdr:rowOff>
              </from>
              <to>
                <xdr:col>5</xdr:col>
                <xdr:colOff>0</xdr:colOff>
                <xdr:row>57</xdr:row>
                <xdr:rowOff>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1048567"/>
  <sheetViews>
    <sheetView showGridLines="0" view="pageBreakPreview" topLeftCell="A5" zoomScaleSheetLayoutView="100" workbookViewId="0">
      <selection activeCell="C33" sqref="C33"/>
    </sheetView>
  </sheetViews>
  <sheetFormatPr defaultColWidth="9.81640625" defaultRowHeight="15.5"/>
  <cols>
    <col min="1" max="1" width="61.7265625" style="2" customWidth="1"/>
    <col min="2" max="2" width="2.81640625" style="6" customWidth="1"/>
    <col min="3" max="3" width="17.54296875" style="2" bestFit="1" customWidth="1"/>
    <col min="4" max="5" width="10.7265625" style="2" customWidth="1"/>
    <col min="6" max="7" width="10.7265625" style="6" customWidth="1"/>
    <col min="8" max="8" width="9.81640625" style="6" bestFit="1" customWidth="1"/>
    <col min="9" max="9" width="9.81640625" style="2" bestFit="1" customWidth="1"/>
    <col min="10" max="10" width="17.7265625" style="2" bestFit="1" customWidth="1"/>
    <col min="11" max="11" width="10.7265625" style="2" customWidth="1"/>
    <col min="12" max="12" width="14.54296875" style="2" bestFit="1" customWidth="1"/>
    <col min="13" max="13" width="10.7265625" style="2" customWidth="1"/>
    <col min="14" max="14" width="12.26953125" style="2" bestFit="1" customWidth="1"/>
    <col min="15" max="15" width="10.81640625" style="2" bestFit="1" customWidth="1"/>
    <col min="16" max="16" width="15.54296875" style="2" bestFit="1" customWidth="1"/>
    <col min="17" max="16384" width="9.81640625" style="2"/>
  </cols>
  <sheetData>
    <row r="1" spans="1:19" ht="39" customHeight="1">
      <c r="A1" s="917" t="s">
        <v>0</v>
      </c>
      <c r="B1" s="917"/>
      <c r="C1" s="917"/>
      <c r="D1" s="917"/>
      <c r="E1" s="917"/>
      <c r="F1" s="917"/>
      <c r="G1" s="917"/>
      <c r="H1" s="917"/>
      <c r="I1" s="917"/>
      <c r="K1" s="3"/>
      <c r="L1" s="3"/>
      <c r="M1" s="3"/>
    </row>
    <row r="2" spans="1:19" ht="15" customHeight="1">
      <c r="A2" s="918" t="s">
        <v>1</v>
      </c>
      <c r="B2" s="918"/>
      <c r="C2" s="918"/>
      <c r="D2" s="918"/>
      <c r="E2" s="918"/>
      <c r="F2" s="918"/>
      <c r="G2" s="918"/>
      <c r="H2" s="918"/>
      <c r="I2" s="918"/>
      <c r="J2" s="4"/>
      <c r="K2" s="5"/>
      <c r="L2" s="5"/>
      <c r="M2" s="5"/>
    </row>
    <row r="3" spans="1:19" ht="15" customHeight="1">
      <c r="A3" s="919" t="s">
        <v>67</v>
      </c>
      <c r="B3" s="919"/>
      <c r="C3" s="919"/>
      <c r="D3" s="919"/>
      <c r="E3" s="919"/>
      <c r="F3" s="919"/>
      <c r="G3" s="919"/>
      <c r="H3" s="919"/>
      <c r="I3" s="919"/>
      <c r="J3" s="4"/>
      <c r="K3" s="5"/>
      <c r="L3" s="225"/>
      <c r="M3" s="5"/>
    </row>
    <row r="4" spans="1:19" ht="18">
      <c r="A4" s="919"/>
      <c r="B4" s="919"/>
      <c r="C4" s="919"/>
      <c r="D4" s="919"/>
      <c r="E4" s="919"/>
      <c r="F4" s="919"/>
      <c r="G4" s="919"/>
      <c r="H4" s="919"/>
      <c r="I4" s="919"/>
      <c r="J4" s="4"/>
      <c r="K4" s="4"/>
      <c r="L4" s="4"/>
      <c r="M4" s="4"/>
      <c r="N4" s="4"/>
      <c r="O4" s="4"/>
      <c r="P4" s="6"/>
    </row>
    <row r="5" spans="1:19">
      <c r="A5" s="7"/>
      <c r="B5" s="8"/>
      <c r="C5" s="7"/>
      <c r="D5" s="7"/>
      <c r="E5" s="7"/>
      <c r="F5" s="8"/>
      <c r="G5" s="8"/>
      <c r="H5" s="8"/>
      <c r="I5" s="7"/>
      <c r="J5" s="8"/>
      <c r="K5" s="9"/>
      <c r="L5" s="9"/>
      <c r="M5" s="10"/>
    </row>
    <row r="6" spans="1:19">
      <c r="A6" s="11"/>
      <c r="B6" s="11"/>
      <c r="C6" s="921" t="str">
        <f>+'Consolidado Resultados'!C5:H5</f>
        <v>Por el cuarto trimestre de:</v>
      </c>
      <c r="D6" s="921"/>
      <c r="E6" s="921"/>
      <c r="F6" s="921"/>
      <c r="G6" s="921"/>
      <c r="H6" s="206"/>
      <c r="I6" s="173"/>
      <c r="J6" s="921" t="str">
        <f>+'Consolidado Resultados'!J5:O5</f>
        <v>A c u m u l a d o:</v>
      </c>
      <c r="K6" s="921"/>
      <c r="L6" s="921"/>
      <c r="M6" s="921"/>
      <c r="N6" s="921"/>
    </row>
    <row r="7" spans="1:19">
      <c r="A7" s="11"/>
      <c r="B7" s="11"/>
      <c r="C7" s="172"/>
      <c r="D7" s="172"/>
      <c r="E7" s="172"/>
      <c r="F7" s="12"/>
      <c r="G7" s="12"/>
      <c r="H7" s="12"/>
      <c r="I7" s="173"/>
      <c r="J7" s="172"/>
      <c r="K7" s="172"/>
      <c r="L7" s="172"/>
      <c r="M7" s="12"/>
    </row>
    <row r="8" spans="1:19">
      <c r="A8" s="14"/>
      <c r="B8" s="15"/>
      <c r="C8" s="75" t="s">
        <v>146</v>
      </c>
      <c r="D8" s="17" t="s">
        <v>4</v>
      </c>
      <c r="E8" s="90">
        <v>2015</v>
      </c>
      <c r="F8" s="17" t="s">
        <v>4</v>
      </c>
      <c r="G8" s="17" t="s">
        <v>111</v>
      </c>
      <c r="H8" s="183"/>
      <c r="I8" s="173"/>
      <c r="J8" s="75" t="str">
        <f>+C8</f>
        <v>2016 (A)</v>
      </c>
      <c r="K8" s="17" t="s">
        <v>4</v>
      </c>
      <c r="L8" s="91">
        <f>+E8</f>
        <v>2015</v>
      </c>
      <c r="M8" s="17" t="s">
        <v>4</v>
      </c>
      <c r="N8" s="17" t="s">
        <v>81</v>
      </c>
      <c r="R8" s="20"/>
      <c r="S8" s="20"/>
    </row>
    <row r="9" spans="1:19">
      <c r="A9" s="25" t="s">
        <v>5</v>
      </c>
      <c r="B9" s="25"/>
      <c r="C9" s="178">
        <f>+'Consolidado Resultados'!C7-C15</f>
        <v>122502</v>
      </c>
      <c r="D9" s="32">
        <f>((+C9/C$9)*100)</f>
        <v>100</v>
      </c>
      <c r="E9" s="178">
        <f>+'Consolidado Resultados'!E7</f>
        <v>109907</v>
      </c>
      <c r="F9" s="32">
        <f>((+E9/E$9)*100)</f>
        <v>100</v>
      </c>
      <c r="G9" s="174">
        <f t="shared" ref="G9:G14" si="0">IF((((C9/E9)-1)*100)&gt;=100,"N.A.",(IF((((C9/E9)-1)*100)&lt;=-100,"N.A.",(((C9/E9)-1)*100))))</f>
        <v>11.459688645855138</v>
      </c>
      <c r="H9" s="33"/>
      <c r="I9" s="31"/>
      <c r="J9" s="178">
        <v>455697</v>
      </c>
      <c r="K9" s="32">
        <f>((+J9/J$9)*100)</f>
        <v>100</v>
      </c>
      <c r="L9" s="178">
        <f>+'Consolidado Resultados'!L7</f>
        <v>399507</v>
      </c>
      <c r="M9" s="32">
        <f>((+L9/L$9)*100)</f>
        <v>100</v>
      </c>
      <c r="N9" s="33">
        <f t="shared" ref="N9:N10" si="1">IF((((J9/L9)-1)*100)&gt;=100,"N.S.",(IF((((J9/L9)-1)*100)&lt;=-100,"N.S.",(((J9/L9)-1)*100))))</f>
        <v>14.06483490902537</v>
      </c>
      <c r="O9" s="20"/>
      <c r="P9" s="30"/>
    </row>
    <row r="10" spans="1:19" s="76" customFormat="1" ht="17.5">
      <c r="A10" s="124" t="s">
        <v>83</v>
      </c>
      <c r="B10" s="125"/>
      <c r="C10" s="179">
        <f>+'Consolidado Resultados'!C13-C19</f>
        <v>13018</v>
      </c>
      <c r="D10" s="123">
        <f>ROUND(((+C10/C$9)*100),1)</f>
        <v>10.6</v>
      </c>
      <c r="E10" s="179">
        <f>+'Consolidado Resultados'!E13</f>
        <v>11678</v>
      </c>
      <c r="F10" s="123">
        <f>ROUND(((+E10/E$9)*100),1)</f>
        <v>10.6</v>
      </c>
      <c r="G10" s="174">
        <f t="shared" si="0"/>
        <v>11.474567562938853</v>
      </c>
      <c r="H10" s="184"/>
      <c r="I10" s="115"/>
      <c r="J10" s="179">
        <v>41002.779985283298</v>
      </c>
      <c r="K10" s="123">
        <f>ROUND(((+J10/J$9)*100),1)</f>
        <v>9</v>
      </c>
      <c r="L10" s="179">
        <f>+'Consolidado Resultados'!L13</f>
        <v>37427</v>
      </c>
      <c r="M10" s="123">
        <f>ROUND(((+L10/L$9)*100),1)</f>
        <v>9.4</v>
      </c>
      <c r="N10" s="174">
        <f t="shared" si="1"/>
        <v>9.5540117703350358</v>
      </c>
    </row>
    <row r="11" spans="1:19" ht="15.75" customHeight="1">
      <c r="A11" s="67" t="s">
        <v>63</v>
      </c>
      <c r="B11" s="25"/>
      <c r="C11" s="180">
        <f>+'Consolidado Resultados'!C32-C23</f>
        <v>18545</v>
      </c>
      <c r="D11" s="69">
        <f>ROUND(((+C11/C$9)*100),1)</f>
        <v>15.1</v>
      </c>
      <c r="E11" s="181">
        <f>+'Consolidado Resultados'!E32</f>
        <v>17192</v>
      </c>
      <c r="F11" s="69">
        <f>ROUND(((+E11/E$9)*100),1)</f>
        <v>15.6</v>
      </c>
      <c r="G11" s="177">
        <f t="shared" si="0"/>
        <v>7.8699395067473255</v>
      </c>
      <c r="H11" s="185"/>
      <c r="I11" s="115"/>
      <c r="J11" s="178">
        <v>60846.149044205493</v>
      </c>
      <c r="K11" s="69">
        <f>ROUND(((+J11/J$9)*100),1)</f>
        <v>13.4</v>
      </c>
      <c r="L11" s="178">
        <f>+'Consolidado Resultados'!L32</f>
        <v>54987</v>
      </c>
      <c r="M11" s="69">
        <f>ROUND(((+L11/L$9)*100),1)</f>
        <v>13.8</v>
      </c>
      <c r="N11" s="177">
        <f>IF((((J11/L11)-1)*100)&gt;=100,"N.S.",(IF((((J11/L11)-1)*100)&lt;=-100,"N.S.",(((J11/L11)-1)*100))))</f>
        <v>10.655516838899182</v>
      </c>
    </row>
    <row r="12" spans="1:19">
      <c r="A12" s="6"/>
      <c r="C12" s="84"/>
      <c r="D12" s="6"/>
      <c r="E12" s="6"/>
      <c r="I12" s="6"/>
      <c r="J12" s="171"/>
      <c r="K12" s="60"/>
    </row>
    <row r="13" spans="1:19">
      <c r="A13" s="6" t="s">
        <v>122</v>
      </c>
      <c r="C13" s="116">
        <v>0</v>
      </c>
      <c r="D13" s="6"/>
      <c r="E13" s="116">
        <v>0</v>
      </c>
      <c r="G13" s="33" t="e">
        <f t="shared" si="0"/>
        <v>#DIV/0!</v>
      </c>
      <c r="I13" s="6"/>
      <c r="J13" s="98">
        <v>38706</v>
      </c>
      <c r="L13" s="98">
        <v>33561</v>
      </c>
      <c r="N13" s="33">
        <f t="shared" ref="N13:N14" si="2">IF((((J13/L13)-1)*100)&gt;=100,"N.A.",(IF((((J13/L13)-1)*100)&lt;=-100,"N.A.",(((J13/L13)-1)*100))))</f>
        <v>15.330294091356045</v>
      </c>
    </row>
    <row r="14" spans="1:19">
      <c r="A14" s="6" t="s">
        <v>123</v>
      </c>
      <c r="C14" s="116">
        <v>0</v>
      </c>
      <c r="D14" s="6"/>
      <c r="E14" s="116">
        <v>0</v>
      </c>
      <c r="G14" s="33" t="e">
        <f t="shared" si="0"/>
        <v>#DIV/0!</v>
      </c>
      <c r="H14" s="32"/>
      <c r="I14" s="6"/>
      <c r="J14" s="98">
        <v>33947</v>
      </c>
      <c r="L14" s="98">
        <v>33561</v>
      </c>
      <c r="N14" s="33">
        <f t="shared" si="2"/>
        <v>1.1501445129763699</v>
      </c>
    </row>
    <row r="15" spans="1:19">
      <c r="C15" s="66">
        <f>C13-C14</f>
        <v>0</v>
      </c>
      <c r="D15" s="66"/>
      <c r="E15" s="66">
        <f>E13-E14</f>
        <v>0</v>
      </c>
      <c r="I15" s="6"/>
      <c r="J15" s="66">
        <f>J13-J14</f>
        <v>4759</v>
      </c>
      <c r="L15" s="66">
        <f>L13-L14</f>
        <v>0</v>
      </c>
      <c r="N15" s="6"/>
    </row>
    <row r="16" spans="1:19">
      <c r="D16" s="6"/>
      <c r="E16" s="6"/>
      <c r="I16" s="6"/>
      <c r="N16" s="6"/>
    </row>
    <row r="17" spans="1:14">
      <c r="A17" s="6" t="s">
        <v>124</v>
      </c>
      <c r="C17" s="116">
        <v>0</v>
      </c>
      <c r="D17" s="42"/>
      <c r="E17" s="116">
        <v>0</v>
      </c>
      <c r="G17" s="33" t="e">
        <f t="shared" ref="G17:G18" si="3">IF((((C17/E17)-1)*100)&gt;=100,"N.A.",(IF((((C17/E17)-1)*100)&lt;=-100,"N.A.",(((C17/E17)-1)*100))))</f>
        <v>#DIV/0!</v>
      </c>
      <c r="I17" s="6"/>
      <c r="J17" s="98">
        <v>4809</v>
      </c>
      <c r="L17" s="98">
        <v>4074</v>
      </c>
      <c r="N17" s="33">
        <f t="shared" ref="N17:N18" si="4">IF((((J17/L17)-1)*100)&gt;=100,"N.A.",(IF((((J17/L17)-1)*100)&lt;=-100,"N.A.",(((J17/L17)-1)*100))))</f>
        <v>18.041237113402065</v>
      </c>
    </row>
    <row r="18" spans="1:14">
      <c r="A18" s="6" t="s">
        <v>125</v>
      </c>
      <c r="C18" s="214">
        <v>0</v>
      </c>
      <c r="D18" s="98"/>
      <c r="E18" s="214">
        <v>0</v>
      </c>
      <c r="G18" s="33" t="e">
        <f t="shared" si="3"/>
        <v>#DIV/0!</v>
      </c>
      <c r="H18" s="32"/>
      <c r="J18" s="98">
        <v>4376</v>
      </c>
      <c r="L18" s="98">
        <v>4077</v>
      </c>
      <c r="N18" s="33">
        <f t="shared" si="4"/>
        <v>7.3338238901152764</v>
      </c>
    </row>
    <row r="19" spans="1:14">
      <c r="A19" s="6"/>
      <c r="C19" s="66">
        <f>C17-C18</f>
        <v>0</v>
      </c>
      <c r="D19" s="98"/>
      <c r="E19" s="66"/>
      <c r="G19" s="33"/>
      <c r="J19" s="66">
        <f>J17-J18</f>
        <v>433</v>
      </c>
      <c r="K19" s="98"/>
      <c r="L19" s="66">
        <f>L17-L18</f>
        <v>-3</v>
      </c>
      <c r="N19" s="33"/>
    </row>
    <row r="20" spans="1:14">
      <c r="E20" s="66"/>
      <c r="N20" s="6"/>
    </row>
    <row r="21" spans="1:14">
      <c r="A21" s="6" t="s">
        <v>63</v>
      </c>
      <c r="C21" s="215">
        <v>0</v>
      </c>
      <c r="D21" s="86"/>
      <c r="E21" s="215">
        <v>0</v>
      </c>
      <c r="F21" s="32"/>
      <c r="G21" s="33" t="e">
        <f t="shared" ref="G21:G22" si="5">IF((((C21/E21)-1)*100)&gt;=100,"N.A.",(IF((((C21/E21)-1)*100)&lt;=-100,"N.A.",(((C21/E21)-1)*100))))</f>
        <v>#DIV/0!</v>
      </c>
      <c r="H21" s="32"/>
      <c r="J21" s="98">
        <v>6767</v>
      </c>
      <c r="L21" s="98">
        <v>10041</v>
      </c>
      <c r="N21" s="33">
        <f t="shared" ref="N21:N22" si="6">IF((((J21/L21)-1)*100)&gt;=100,"N.A.",(IF((((J21/L21)-1)*100)&lt;=-100,"N.A.",(((J21/L21)-1)*100))))</f>
        <v>-32.606314112140225</v>
      </c>
    </row>
    <row r="22" spans="1:14">
      <c r="A22" s="6" t="s">
        <v>126</v>
      </c>
      <c r="C22" s="215">
        <v>0</v>
      </c>
      <c r="E22" s="215">
        <v>0</v>
      </c>
      <c r="G22" s="33" t="e">
        <f t="shared" si="5"/>
        <v>#DIV/0!</v>
      </c>
      <c r="H22" s="32"/>
      <c r="J22" s="98">
        <v>6197</v>
      </c>
      <c r="L22" s="98">
        <v>10044</v>
      </c>
      <c r="N22" s="33">
        <f t="shared" si="6"/>
        <v>-38.301473516527281</v>
      </c>
    </row>
    <row r="23" spans="1:14">
      <c r="C23" s="211">
        <f>C21-C22</f>
        <v>0</v>
      </c>
      <c r="J23" s="66">
        <f>J21-J22</f>
        <v>570</v>
      </c>
      <c r="K23" s="98"/>
      <c r="L23" s="66">
        <f>L21-L22</f>
        <v>-3</v>
      </c>
    </row>
    <row r="25" spans="1:14">
      <c r="A25" s="76"/>
      <c r="B25" s="77"/>
      <c r="C25" s="76"/>
      <c r="D25" s="76"/>
      <c r="E25" s="76"/>
      <c r="F25" s="77"/>
      <c r="G25" s="77"/>
      <c r="H25" s="77"/>
      <c r="I25" s="76"/>
      <c r="J25" s="76"/>
      <c r="K25" s="76"/>
      <c r="L25" s="76"/>
      <c r="M25" s="76"/>
      <c r="N25" s="76"/>
    </row>
    <row r="26" spans="1:14">
      <c r="A26" s="77" t="s">
        <v>147</v>
      </c>
      <c r="B26" s="77"/>
      <c r="C26" s="214">
        <v>0</v>
      </c>
      <c r="D26" s="76"/>
      <c r="E26" s="214">
        <v>0</v>
      </c>
      <c r="F26" s="77"/>
      <c r="G26" s="184" t="e">
        <f>IF((((C26/E26)-1)*100)&gt;=100,"N.A.",(IF((((C26/E26)-1)*100)&lt;=-100,"N.A.",(((C26/E26)-1)*100))))</f>
        <v>#DIV/0!</v>
      </c>
      <c r="H26" s="77"/>
      <c r="I26" s="76"/>
      <c r="J26" s="214">
        <v>0</v>
      </c>
      <c r="K26" s="76"/>
      <c r="L26" s="214">
        <v>0</v>
      </c>
      <c r="M26" s="76"/>
      <c r="N26" s="184" t="e">
        <f t="shared" ref="N26:N27" si="7">IF((((J26/L26)-1)*100)&gt;=100,"N.A.",(IF((((J26/L26)-1)*100)&lt;=-100,"N.A.",(((J26/L26)-1)*100))))</f>
        <v>#DIV/0!</v>
      </c>
    </row>
    <row r="27" spans="1:14">
      <c r="A27" s="77" t="s">
        <v>127</v>
      </c>
      <c r="B27" s="77"/>
      <c r="C27" s="214">
        <v>-94</v>
      </c>
      <c r="D27" s="76"/>
      <c r="E27" s="207">
        <v>-87.088999999999999</v>
      </c>
      <c r="F27" s="77"/>
      <c r="G27" s="184">
        <f>IF((((C27/E27)-1)*100)&gt;=100,"N.A.",(IF((((C27/E27)-1)*100)&lt;=-100,"N.A.",(((C27/E27)-1)*100))))</f>
        <v>7.9355601740747961</v>
      </c>
      <c r="H27" s="77"/>
      <c r="I27" s="76"/>
      <c r="J27" s="214" t="e">
        <f>+#REF!/1000</f>
        <v>#REF!</v>
      </c>
      <c r="K27" s="76"/>
      <c r="L27" s="214">
        <f>+L26</f>
        <v>0</v>
      </c>
      <c r="M27" s="76"/>
      <c r="N27" s="184" t="e">
        <f t="shared" si="7"/>
        <v>#REF!</v>
      </c>
    </row>
    <row r="28" spans="1:14">
      <c r="A28" s="76"/>
      <c r="B28" s="77"/>
      <c r="C28" s="207">
        <f>C26-C27</f>
        <v>94</v>
      </c>
      <c r="D28" s="76"/>
      <c r="E28" s="207">
        <f>E26-E27</f>
        <v>87.088999999999999</v>
      </c>
      <c r="F28" s="77"/>
      <c r="G28" s="77"/>
      <c r="H28" s="77"/>
      <c r="I28" s="76"/>
      <c r="J28" s="207" t="e">
        <f>J26-J27</f>
        <v>#REF!</v>
      </c>
      <c r="K28" s="76"/>
      <c r="L28" s="76"/>
      <c r="M28" s="76"/>
      <c r="N28" s="76"/>
    </row>
    <row r="29" spans="1:14">
      <c r="A29" s="76"/>
      <c r="B29" s="77"/>
      <c r="C29" s="76"/>
      <c r="D29" s="76"/>
      <c r="E29" s="76"/>
      <c r="F29" s="77"/>
      <c r="G29" s="77"/>
      <c r="H29" s="77"/>
      <c r="I29" s="76"/>
      <c r="J29" s="76"/>
      <c r="K29" s="76"/>
      <c r="L29" s="76"/>
      <c r="M29" s="76"/>
      <c r="N29" s="76"/>
    </row>
    <row r="30" spans="1:14">
      <c r="A30" s="77" t="s">
        <v>128</v>
      </c>
      <c r="B30" s="77"/>
      <c r="C30" s="214">
        <v>0</v>
      </c>
      <c r="D30" s="76"/>
      <c r="E30" s="214">
        <v>0</v>
      </c>
      <c r="F30" s="77"/>
      <c r="G30" s="184" t="e">
        <f t="shared" ref="G30:G31" si="8">IF((((C30/E30)-1)*100)&gt;=100,"N.A.",(IF((((C30/E30)-1)*100)&lt;=-100,"N.A.",(((C30/E30)-1)*100))))</f>
        <v>#DIV/0!</v>
      </c>
      <c r="H30" s="89" t="e">
        <f>+C30/C26</f>
        <v>#DIV/0!</v>
      </c>
      <c r="I30" s="89" t="e">
        <f>+E30/E26</f>
        <v>#DIV/0!</v>
      </c>
      <c r="J30" s="214" t="e">
        <f>+#REF!</f>
        <v>#REF!</v>
      </c>
      <c r="K30" s="76"/>
      <c r="L30" s="214" t="e">
        <f>+#REF!</f>
        <v>#REF!</v>
      </c>
      <c r="M30" s="76"/>
      <c r="N30" s="184" t="e">
        <f t="shared" ref="N30:N31" si="9">IF((((J30/L30)-1)*100)&gt;=100,"N.A.",(IF((((J30/L30)-1)*100)&lt;=-100,"N.A.",(((J30/L30)-1)*100))))</f>
        <v>#REF!</v>
      </c>
    </row>
    <row r="31" spans="1:14">
      <c r="A31" s="77" t="s">
        <v>129</v>
      </c>
      <c r="B31" s="77"/>
      <c r="C31" s="214">
        <v>0</v>
      </c>
      <c r="D31" s="76"/>
      <c r="E31" s="214">
        <v>0</v>
      </c>
      <c r="F31" s="77"/>
      <c r="G31" s="184" t="e">
        <f t="shared" si="8"/>
        <v>#DIV/0!</v>
      </c>
      <c r="H31" s="89"/>
      <c r="I31" s="250"/>
      <c r="J31" s="214" t="e">
        <f>+#REF!/1000</f>
        <v>#REF!</v>
      </c>
      <c r="K31" s="76"/>
      <c r="L31" s="207" t="e">
        <f>+L30</f>
        <v>#REF!</v>
      </c>
      <c r="M31" s="76"/>
      <c r="N31" s="184" t="e">
        <f t="shared" si="9"/>
        <v>#REF!</v>
      </c>
    </row>
    <row r="32" spans="1:14">
      <c r="A32" s="76"/>
      <c r="B32" s="77"/>
      <c r="C32" s="207">
        <f>C30-C31</f>
        <v>0</v>
      </c>
      <c r="D32" s="76"/>
      <c r="E32" s="207">
        <f>E30-E31</f>
        <v>0</v>
      </c>
      <c r="F32" s="77"/>
      <c r="G32" s="77"/>
      <c r="H32" s="89"/>
      <c r="I32" s="250"/>
      <c r="J32" s="207" t="e">
        <f>J30-J31</f>
        <v>#REF!</v>
      </c>
      <c r="K32" s="76"/>
      <c r="L32" s="76"/>
      <c r="M32" s="76"/>
      <c r="N32" s="76"/>
    </row>
    <row r="33" spans="1:23">
      <c r="A33" s="76"/>
      <c r="B33" s="77"/>
      <c r="C33" s="207"/>
      <c r="D33" s="76"/>
      <c r="E33" s="76"/>
      <c r="F33" s="77"/>
      <c r="G33" s="77"/>
      <c r="H33" s="89"/>
      <c r="I33" s="250"/>
      <c r="J33" s="207"/>
      <c r="K33" s="76"/>
      <c r="L33" s="76"/>
      <c r="M33" s="76"/>
      <c r="N33" s="76"/>
    </row>
    <row r="34" spans="1:23">
      <c r="A34" s="77" t="s">
        <v>131</v>
      </c>
      <c r="B34" s="77"/>
      <c r="C34" s="207">
        <v>0</v>
      </c>
      <c r="D34" s="76"/>
      <c r="E34" s="207">
        <v>0</v>
      </c>
      <c r="F34" s="77"/>
      <c r="G34" s="184" t="e">
        <f t="shared" ref="G34:G35" si="10">IF((((C34/E34)-1)*100)&gt;=100,"N.A.",(IF((((C34/E34)-1)*100)&lt;=-100,"N.A.",(((C34/E34)-1)*100))))</f>
        <v>#DIV/0!</v>
      </c>
      <c r="H34" s="89" t="e">
        <f>+C34/C26</f>
        <v>#DIV/0!</v>
      </c>
      <c r="I34" s="89" t="e">
        <f>+E34/E26</f>
        <v>#DIV/0!</v>
      </c>
      <c r="J34" s="207" t="e">
        <f>+#REF!</f>
        <v>#REF!</v>
      </c>
      <c r="K34" s="76"/>
      <c r="L34" s="76" t="e">
        <f>+#REF!</f>
        <v>#REF!</v>
      </c>
      <c r="M34" s="76"/>
      <c r="N34" s="184" t="e">
        <f t="shared" ref="N34:N35" si="11">IF((((J34/L34)-1)*100)&gt;=100,"N.A.",(IF((((J34/L34)-1)*100)&lt;=-100,"N.A.",(((J34/L34)-1)*100))))</f>
        <v>#REF!</v>
      </c>
    </row>
    <row r="35" spans="1:23">
      <c r="A35" s="77" t="s">
        <v>132</v>
      </c>
      <c r="B35" s="77"/>
      <c r="C35" s="207">
        <v>0</v>
      </c>
      <c r="D35" s="76"/>
      <c r="E35" s="207">
        <v>-0.34</v>
      </c>
      <c r="F35" s="77"/>
      <c r="G35" s="184" t="str">
        <f t="shared" si="10"/>
        <v>N.A.</v>
      </c>
      <c r="H35" s="77"/>
      <c r="I35" s="76"/>
      <c r="J35" s="207" t="e">
        <f>+#REF!/1000</f>
        <v>#REF!</v>
      </c>
      <c r="K35" s="76"/>
      <c r="L35" s="76" t="e">
        <f>+L34</f>
        <v>#REF!</v>
      </c>
      <c r="M35" s="76"/>
      <c r="N35" s="184" t="e">
        <f t="shared" si="11"/>
        <v>#REF!</v>
      </c>
    </row>
    <row r="36" spans="1:23">
      <c r="A36" s="76"/>
      <c r="B36" s="77"/>
      <c r="C36" s="207">
        <f>C34-C35</f>
        <v>0</v>
      </c>
      <c r="D36" s="76"/>
      <c r="E36" s="207">
        <f>E34-E35</f>
        <v>0.34</v>
      </c>
      <c r="F36" s="77"/>
      <c r="G36" s="77"/>
      <c r="H36" s="77"/>
      <c r="I36" s="76"/>
      <c r="J36" s="207" t="e">
        <f>J34-J35</f>
        <v>#REF!</v>
      </c>
      <c r="K36" s="76"/>
      <c r="L36" s="76"/>
      <c r="M36" s="76"/>
      <c r="N36" s="76"/>
    </row>
    <row r="38" spans="1:23">
      <c r="A38" s="114" t="s">
        <v>5</v>
      </c>
      <c r="B38" s="77"/>
      <c r="C38" s="207">
        <f>+C46</f>
        <v>119844.89342691531</v>
      </c>
      <c r="D38" s="76"/>
      <c r="E38" s="207">
        <f>+E46</f>
        <v>115739.87660377448</v>
      </c>
      <c r="F38" s="77"/>
      <c r="G38" s="184">
        <f>IF((((C38/E38)-1)*100)&gt;=200,"N.S.",(IF((((C38/E38)-1)*100)&lt;=-200,"N.S.",(((C38/E38)-1)*100))))</f>
        <v>3.546761015819988</v>
      </c>
      <c r="H38" s="77"/>
      <c r="I38" s="76"/>
      <c r="J38" s="207">
        <f>+K46</f>
        <v>448631.42753056256</v>
      </c>
      <c r="K38" s="76"/>
      <c r="L38" s="207">
        <f>+M46</f>
        <v>422275.34195591282</v>
      </c>
      <c r="M38" s="76"/>
      <c r="N38" s="184">
        <f>IF((((J38/L38)-1)*100)&gt;=200,"N.S.",(IF((((J38/L38)-1)*100)&lt;=-200,"N.S.",(((J38/L38)-1)*100))))</f>
        <v>6.2414455583819972</v>
      </c>
    </row>
    <row r="39" spans="1:23" ht="17.5">
      <c r="A39" s="124" t="s">
        <v>83</v>
      </c>
      <c r="B39" s="77"/>
      <c r="C39" s="207">
        <f>+C50</f>
        <v>12349.713782559606</v>
      </c>
      <c r="D39" s="76"/>
      <c r="E39" s="207">
        <f>+E50</f>
        <v>11597.864303072656</v>
      </c>
      <c r="F39" s="77"/>
      <c r="G39" s="184">
        <f>IF((((C39/E39)-1)*100)&gt;=200,"N.S.",(IF((((C39/E39)-1)*100)&lt;=-200,"N.S.",(((C39/E39)-1)*100))))</f>
        <v>6.4826545632867827</v>
      </c>
      <c r="H39" s="77"/>
      <c r="I39" s="207">
        <f>+C39-E39</f>
        <v>751.84947948694935</v>
      </c>
      <c r="J39" s="207">
        <f>+K50</f>
        <v>38937.768729389594</v>
      </c>
      <c r="K39" s="76"/>
      <c r="L39" s="207">
        <f>+M50</f>
        <v>38028.449634884324</v>
      </c>
      <c r="M39" s="76"/>
      <c r="N39" s="184">
        <f>IF((((J39/L39)-1)*100)&gt;=200,"N.S.",(IF((((J39/L39)-1)*100)&lt;=-200,"N.S.",(((J39/L39)-1)*100))))</f>
        <v>2.3911547886799278</v>
      </c>
    </row>
    <row r="40" spans="1:23" ht="17.5">
      <c r="A40" s="124" t="s">
        <v>130</v>
      </c>
      <c r="B40" s="77"/>
      <c r="C40" s="207">
        <f>+C54</f>
        <v>17832.403258108585</v>
      </c>
      <c r="D40" s="76"/>
      <c r="E40" s="207">
        <f>+E54</f>
        <v>17905.220573773815</v>
      </c>
      <c r="F40" s="77"/>
      <c r="G40" s="184">
        <f>IF((((C40/E40)-1)*100)&gt;=200,"N.S.",(IF((((C40/E40)-1)*100)&lt;=-200,"N.S.",(((C40/E40)-1)*100))))</f>
        <v>-0.40668203647760137</v>
      </c>
      <c r="H40" s="77"/>
      <c r="I40" s="207">
        <f>+C40-E40</f>
        <v>-72.817315665230126</v>
      </c>
      <c r="J40" s="207">
        <f>+K54</f>
        <v>58835.223287540459</v>
      </c>
      <c r="K40" s="76"/>
      <c r="L40" s="207">
        <f>+M54</f>
        <v>58060.573754409852</v>
      </c>
      <c r="M40" s="76"/>
      <c r="N40" s="184">
        <f>IF((((J40/L40)-1)*100)&gt;=200,"N.S.",(IF((((J40/L40)-1)*100)&lt;=-200,"N.S.",(((J40/L40)-1)*100))))</f>
        <v>1.3342092284642115</v>
      </c>
    </row>
    <row r="42" spans="1:23">
      <c r="C42" s="921" t="str">
        <f>+C6</f>
        <v>Por el cuarto trimestre de:</v>
      </c>
      <c r="D42" s="921"/>
      <c r="E42" s="921"/>
      <c r="F42" s="921"/>
      <c r="G42" s="921"/>
      <c r="J42" s="921" t="str">
        <f>+J6</f>
        <v>A c u m u l a d o:</v>
      </c>
      <c r="K42" s="921"/>
      <c r="L42" s="921"/>
      <c r="M42" s="921"/>
      <c r="N42" s="921"/>
      <c r="Q42" s="2" t="s">
        <v>158</v>
      </c>
    </row>
    <row r="44" spans="1:23">
      <c r="A44" s="2" t="s">
        <v>152</v>
      </c>
      <c r="C44" s="85">
        <v>2017</v>
      </c>
      <c r="D44" s="85"/>
      <c r="E44" s="85">
        <v>2016</v>
      </c>
      <c r="F44" s="1"/>
      <c r="G44" s="1" t="s">
        <v>154</v>
      </c>
      <c r="K44" s="85">
        <v>2016</v>
      </c>
      <c r="L44" s="85"/>
      <c r="M44" s="85">
        <v>2015</v>
      </c>
      <c r="N44" s="1"/>
      <c r="O44" s="1" t="s">
        <v>154</v>
      </c>
      <c r="Q44" s="2" t="s">
        <v>152</v>
      </c>
      <c r="S44" s="2">
        <v>2016</v>
      </c>
      <c r="U44" s="2">
        <v>2015</v>
      </c>
      <c r="W44" s="2" t="s">
        <v>162</v>
      </c>
    </row>
    <row r="45" spans="1:23">
      <c r="A45" s="2" t="s">
        <v>155</v>
      </c>
      <c r="C45" s="98">
        <f>+'Consolidado Resultados'!C7</f>
        <v>122502</v>
      </c>
      <c r="D45" s="98"/>
      <c r="E45" s="98">
        <f>+'Consolidado Resultados'!E7</f>
        <v>109907</v>
      </c>
      <c r="G45" s="184">
        <f>IF((((C45/E45)-1)*100)&gt;=100,"N.A.",(IF((((C45/E45)-1)*100)&lt;=-100,"N.A.",(((C45/E45)-1)*100))))</f>
        <v>11.459688645855138</v>
      </c>
      <c r="H45" s="66">
        <f>+C45-E45</f>
        <v>12595</v>
      </c>
      <c r="K45" s="98">
        <f>+'Consolidado Resultados'!J7</f>
        <v>460456</v>
      </c>
      <c r="L45" s="98"/>
      <c r="M45" s="98">
        <f>+'Consolidado Resultados'!L7</f>
        <v>399507</v>
      </c>
      <c r="N45" s="6"/>
      <c r="O45" s="184">
        <f>IF((((K45/M45)-1)*100)&gt;=100,"N.A.",(IF((((K45/M45)-1)*100)&lt;=-100,"N.A.",(((K45/M45)-1)*100))))</f>
        <v>15.256053085427791</v>
      </c>
      <c r="Q45" s="2" t="s">
        <v>160</v>
      </c>
      <c r="S45" s="2">
        <f>+'FEMSA Comercio-Div Combustibles'!C7</f>
        <v>10177.218999999999</v>
      </c>
      <c r="U45" s="2">
        <f>+'FEMSA Comercio-Div Combustibles'!E7</f>
        <v>8053.7550000000001</v>
      </c>
      <c r="W45" s="184">
        <f>IF((((S45/U45)-1)*100)&gt;=1000,"N.A.",(IF((((S45/U45)-1)*100)&lt;=-1000,"N.A.",(((S45/U45)-1)*100))))</f>
        <v>26.366136044615196</v>
      </c>
    </row>
    <row r="46" spans="1:23">
      <c r="A46" s="2" t="s">
        <v>156</v>
      </c>
      <c r="C46" s="20">
        <f>+C45-C60-C61-C62</f>
        <v>119844.89342691531</v>
      </c>
      <c r="E46" s="98">
        <f>+E45+C68</f>
        <v>115739.87660377448</v>
      </c>
      <c r="G46" s="184">
        <f>IF((((C46/E46)-1)*100)&gt;=100,"N.A.",(IF((((C46/E46)-1)*100)&lt;=-100,"N.A.",(((C46/E46)-1)*100))))</f>
        <v>3.546761015819988</v>
      </c>
      <c r="H46" s="66">
        <f>+C46-E46</f>
        <v>4105.0168231408315</v>
      </c>
      <c r="I46" s="904">
        <f>+C46/E46-1</f>
        <v>3.546761015819988E-2</v>
      </c>
      <c r="K46" s="20">
        <f>+K45-K60-K61-K62-K63+K64</f>
        <v>448631.42753056256</v>
      </c>
      <c r="M46" s="98">
        <f>+M45+K67</f>
        <v>422275.34195591282</v>
      </c>
      <c r="N46" s="6"/>
      <c r="O46" s="184">
        <f>IF((((K46/M46)-1)*100)&gt;=100,"N.A.",(IF((((K46/M46)-1)*100)&lt;=-100,"N.A.",(((K46/M46)-1)*100))))</f>
        <v>6.2414455583819972</v>
      </c>
      <c r="Q46" s="2" t="s">
        <v>159</v>
      </c>
      <c r="S46" s="20" t="e">
        <f>+S45-#REF!</f>
        <v>#REF!</v>
      </c>
      <c r="U46" s="2">
        <f>+U45</f>
        <v>8053.7550000000001</v>
      </c>
      <c r="W46" s="184" t="e">
        <f>IF((((S46/U46)-1)*100)&gt;=1000,"N.A.",(IF((((S46/U46)-1)*100)&lt;=-1000,"N.A.",(((S46/U46)-1)*100))))</f>
        <v>#REF!</v>
      </c>
    </row>
    <row r="47" spans="1:23">
      <c r="N47" s="6"/>
      <c r="O47" s="6"/>
    </row>
    <row r="48" spans="1:23">
      <c r="A48" s="2" t="s">
        <v>157</v>
      </c>
      <c r="N48" s="6"/>
      <c r="O48" s="6"/>
      <c r="Q48" s="2" t="s">
        <v>161</v>
      </c>
    </row>
    <row r="49" spans="1:23">
      <c r="A49" s="2" t="s">
        <v>155</v>
      </c>
      <c r="C49" s="98">
        <f>+'Consolidado Resultados'!C13</f>
        <v>13018</v>
      </c>
      <c r="D49" s="98"/>
      <c r="E49" s="98">
        <f>+'Consolidado Resultados'!E13</f>
        <v>11678</v>
      </c>
      <c r="G49" s="184">
        <f>IF((((C49/E49)-1)*100)&gt;=100,"N.A.",(IF((((C49/E49)-1)*100)&lt;=-100,"N.A.",(((C49/E49)-1)*100))))</f>
        <v>11.474567562938853</v>
      </c>
      <c r="H49" s="66">
        <f>+C49-E49</f>
        <v>1340</v>
      </c>
      <c r="K49" s="98">
        <f>+'Consolidado Resultados'!J13</f>
        <v>41439</v>
      </c>
      <c r="L49" s="98"/>
      <c r="M49" s="98">
        <f>+'Consolidado Resultados'!L13</f>
        <v>37427</v>
      </c>
      <c r="N49" s="6"/>
      <c r="O49" s="184">
        <f>IF((((K49/M49)-1)*100)&gt;=100,"N.A.",(IF((((K49/M49)-1)*100)&lt;=-100,"N.A.",(((K49/M49)-1)*100))))</f>
        <v>10.719534026237753</v>
      </c>
      <c r="Q49" s="2" t="s">
        <v>160</v>
      </c>
      <c r="S49" s="2">
        <f>+'FEMSA Comercio-Div Combustibles'!C13</f>
        <v>111</v>
      </c>
      <c r="U49" s="2">
        <f>+'FEMSA Comercio-Div Combustibles'!E13</f>
        <v>74</v>
      </c>
      <c r="W49" s="184">
        <f>IF((((S49/U49)-1)*100)&gt;=1000,"N.A.",(IF((((S49/U49)-1)*100)&lt;=-1000,"N.A.",(((S49/U49)-1)*100))))</f>
        <v>50</v>
      </c>
    </row>
    <row r="50" spans="1:23">
      <c r="A50" s="2" t="s">
        <v>156</v>
      </c>
      <c r="C50" s="98">
        <f>+C49-D60-D61-D62</f>
        <v>12349.713782559606</v>
      </c>
      <c r="D50" s="98"/>
      <c r="E50" s="98">
        <f>+E49+D68</f>
        <v>11597.864303072656</v>
      </c>
      <c r="G50" s="184">
        <f>IF((((C50/E50)-1)*100)&gt;=100,"N.A.",(IF((((C50/E50)-1)*100)&lt;=-100,"N.A.",(((C50/E50)-1)*100))))</f>
        <v>6.4826545632867827</v>
      </c>
      <c r="H50" s="66">
        <f>+C50-E50</f>
        <v>751.84947948694935</v>
      </c>
      <c r="I50" s="904">
        <f>+C50/E50-1</f>
        <v>6.4826545632867827E-2</v>
      </c>
      <c r="K50" s="98">
        <f>+K49-L60-L61-L62-L63+L64</f>
        <v>38937.768729389594</v>
      </c>
      <c r="L50" s="98"/>
      <c r="M50" s="98">
        <f>+M49+L67</f>
        <v>38028.449634884324</v>
      </c>
      <c r="N50" s="6"/>
      <c r="O50" s="184">
        <f>IF((((K50/M50)-1)*100)&gt;=100,"N.A.",(IF((((K50/M50)-1)*100)&lt;=-100,"N.A.",(((K50/M50)-1)*100))))</f>
        <v>2.3911547886799278</v>
      </c>
      <c r="Q50" s="2" t="s">
        <v>159</v>
      </c>
      <c r="S50" s="246" t="e">
        <f>+S49-#REF!</f>
        <v>#REF!</v>
      </c>
      <c r="U50" s="2">
        <f>+U49</f>
        <v>74</v>
      </c>
      <c r="W50" s="184" t="e">
        <f>IF((((S50/U50)-1)*100)&gt;=1000,"N.A.",(IF((((S50/U50)-1)*100)&lt;=-1000,"N.A.",(((S50/U50)-1)*100))))</f>
        <v>#REF!</v>
      </c>
    </row>
    <row r="51" spans="1:23">
      <c r="C51" s="98"/>
      <c r="D51" s="98"/>
      <c r="E51" s="98"/>
      <c r="K51" s="98"/>
      <c r="L51" s="98"/>
      <c r="M51" s="98"/>
      <c r="N51" s="6"/>
      <c r="O51" s="6"/>
    </row>
    <row r="52" spans="1:23">
      <c r="A52" s="2" t="s">
        <v>106</v>
      </c>
      <c r="C52" s="98"/>
      <c r="D52" s="98"/>
      <c r="E52" s="98"/>
      <c r="K52" s="98"/>
      <c r="L52" s="98"/>
      <c r="M52" s="98"/>
      <c r="N52" s="6"/>
      <c r="O52" s="6"/>
      <c r="Q52" s="2" t="s">
        <v>106</v>
      </c>
    </row>
    <row r="53" spans="1:23">
      <c r="A53" s="2" t="s">
        <v>155</v>
      </c>
      <c r="C53" s="98">
        <f>+'Consolidado Resultados'!C32</f>
        <v>18545</v>
      </c>
      <c r="D53" s="98"/>
      <c r="E53" s="98">
        <f>+'Consolidado Resultados'!E32</f>
        <v>17192</v>
      </c>
      <c r="G53" s="184">
        <f>IF((((C53/E53)-1)*100)&gt;=100,"N.A.",(IF((((C53/E53)-1)*100)&lt;=-100,"N.A.",(((C53/E53)-1)*100))))</f>
        <v>7.8699395067473255</v>
      </c>
      <c r="K53" s="98">
        <f>+'Consolidado Resultados'!J32</f>
        <v>61418</v>
      </c>
      <c r="L53" s="98"/>
      <c r="M53" s="98">
        <f>+'Consolidado Resultados'!L32</f>
        <v>54987</v>
      </c>
      <c r="N53" s="6"/>
      <c r="O53" s="184">
        <f>IF((((K53/M53)-1)*100)&gt;=100,"N.A.",(IF((((K53/M53)-1)*100)&lt;=-100,"N.A.",(((K53/M53)-1)*100))))</f>
        <v>11.69549166166548</v>
      </c>
      <c r="Q53" s="2" t="s">
        <v>160</v>
      </c>
      <c r="S53" s="2">
        <f>+'FEMSA Comercio-Div Combustibles'!C16</f>
        <v>147</v>
      </c>
      <c r="U53" s="2">
        <f>+'FEMSA Comercio-Div Combustibles'!E16</f>
        <v>112</v>
      </c>
      <c r="W53" s="184">
        <f>IF((((S53/U53)-1)*100)&gt;=1000,"N.A.",(IF((((S53/U53)-1)*100)&lt;=-1000,"N.A.",(((S53/U53)-1)*100))))</f>
        <v>31.25</v>
      </c>
    </row>
    <row r="54" spans="1:23">
      <c r="A54" s="2" t="s">
        <v>156</v>
      </c>
      <c r="C54" s="98">
        <f>+C53-E60-E61-E62</f>
        <v>17832.403258108585</v>
      </c>
      <c r="D54" s="98"/>
      <c r="E54" s="98">
        <f>+E53+E68</f>
        <v>17905.220573773815</v>
      </c>
      <c r="G54" s="184">
        <f>IF((((C54/E54)-1)*100)&gt;=100,"N.A.",(IF((((C54/E54)-1)*100)&lt;=-100,"N.A.",(((C54/E54)-1)*100))))</f>
        <v>-0.40668203647760137</v>
      </c>
      <c r="K54" s="98">
        <f>+K53-M60-M61-M62-M63+M64</f>
        <v>58835.223287540459</v>
      </c>
      <c r="L54" s="98"/>
      <c r="M54" s="98">
        <f>+M53+M67</f>
        <v>58060.573754409852</v>
      </c>
      <c r="N54" s="6"/>
      <c r="O54" s="184">
        <f>IF((((K54/M54)-1)*100)&gt;=100,"N.A.",(IF((((K54/M54)-1)*100)&lt;=-100,"N.A.",(((K54/M54)-1)*100))))</f>
        <v>1.3342092284642115</v>
      </c>
      <c r="Q54" s="2" t="s">
        <v>159</v>
      </c>
      <c r="S54" s="246" t="e">
        <f>+S53-#REF!</f>
        <v>#REF!</v>
      </c>
      <c r="U54" s="2">
        <f>+U53</f>
        <v>112</v>
      </c>
      <c r="W54" s="184" t="e">
        <f>IF((((S54/U54)-1)*100)&gt;=1000,"N.A.",(IF((((S54/U54)-1)*100)&lt;=-1000,"N.A.",(((S54/U54)-1)*100))))</f>
        <v>#REF!</v>
      </c>
    </row>
    <row r="55" spans="1:23">
      <c r="W55" s="184"/>
    </row>
    <row r="58" spans="1:23">
      <c r="A58" s="247">
        <v>2017</v>
      </c>
      <c r="I58" s="85" t="s">
        <v>165</v>
      </c>
    </row>
    <row r="59" spans="1:23">
      <c r="C59" s="249" t="s">
        <v>152</v>
      </c>
      <c r="D59" s="249" t="s">
        <v>153</v>
      </c>
      <c r="E59" s="249" t="s">
        <v>106</v>
      </c>
      <c r="J59" s="6"/>
      <c r="K59" s="249" t="s">
        <v>152</v>
      </c>
      <c r="L59" s="249" t="s">
        <v>153</v>
      </c>
      <c r="M59" s="249" t="s">
        <v>106</v>
      </c>
      <c r="N59" s="249" t="s">
        <v>171</v>
      </c>
    </row>
    <row r="60" spans="1:23">
      <c r="A60" s="894" t="s">
        <v>170</v>
      </c>
      <c r="B60" s="875"/>
      <c r="C60" s="896">
        <v>1992.6255730846885</v>
      </c>
      <c r="D60" s="896">
        <v>567.53821744039521</v>
      </c>
      <c r="E60" s="896">
        <v>605.72874189141373</v>
      </c>
      <c r="I60" s="894" t="s">
        <v>216</v>
      </c>
      <c r="J60" s="895"/>
      <c r="K60" s="896">
        <v>20523.866574891828</v>
      </c>
      <c r="L60" s="896">
        <v>1179.11574300864</v>
      </c>
      <c r="M60" s="896">
        <v>3254.7209620888689</v>
      </c>
    </row>
    <row r="61" spans="1:23">
      <c r="A61" s="894" t="s">
        <v>244</v>
      </c>
      <c r="B61" s="895"/>
      <c r="C61" s="896">
        <v>286.29700000000003</v>
      </c>
      <c r="D61" s="897">
        <v>40.210999999999999</v>
      </c>
      <c r="E61" s="897">
        <v>44.078000000000003</v>
      </c>
      <c r="I61" s="894" t="s">
        <v>236</v>
      </c>
      <c r="J61" s="894"/>
      <c r="K61" s="897">
        <v>1418.4860000000001</v>
      </c>
      <c r="L61" s="897">
        <v>189.77</v>
      </c>
      <c r="M61" s="897">
        <v>223.94300000000001</v>
      </c>
    </row>
    <row r="62" spans="1:23">
      <c r="A62" s="894" t="s">
        <v>236</v>
      </c>
      <c r="B62" s="895"/>
      <c r="C62" s="897">
        <v>378.18400000000003</v>
      </c>
      <c r="D62" s="897">
        <v>60.536999999999999</v>
      </c>
      <c r="E62" s="897">
        <v>62.79</v>
      </c>
      <c r="I62" s="898" t="s">
        <v>244</v>
      </c>
      <c r="J62" s="899"/>
      <c r="K62" s="900">
        <v>1528.0170000000001</v>
      </c>
      <c r="L62" s="901">
        <v>134.864</v>
      </c>
      <c r="M62" s="901">
        <v>154.23699999999999</v>
      </c>
    </row>
    <row r="63" spans="1:23">
      <c r="I63" s="898" t="s">
        <v>246</v>
      </c>
      <c r="J63" s="899"/>
      <c r="K63" s="900">
        <v>10532.666377886619</v>
      </c>
      <c r="L63" s="900">
        <v>2221.1330366453435</v>
      </c>
      <c r="M63" s="900">
        <v>2447.5079114687992</v>
      </c>
    </row>
    <row r="64" spans="1:23">
      <c r="A64" s="874"/>
      <c r="B64" s="875"/>
      <c r="C64" s="876"/>
      <c r="D64" s="877"/>
      <c r="E64" s="877"/>
      <c r="I64" s="894" t="s">
        <v>231</v>
      </c>
      <c r="J64" s="894"/>
      <c r="K64" s="896">
        <v>22178.463483340969</v>
      </c>
      <c r="L64" s="896">
        <v>1223.6515090435712</v>
      </c>
      <c r="M64" s="896">
        <v>3497.6321610981222</v>
      </c>
    </row>
    <row r="65" spans="1:14">
      <c r="C65" s="98"/>
      <c r="D65" s="246"/>
      <c r="E65" s="251"/>
    </row>
    <row r="66" spans="1:14">
      <c r="A66" s="247">
        <v>2016</v>
      </c>
      <c r="C66" s="249" t="s">
        <v>152</v>
      </c>
      <c r="D66" s="249" t="s">
        <v>153</v>
      </c>
      <c r="E66" s="249" t="s">
        <v>106</v>
      </c>
      <c r="I66" s="248">
        <v>2016</v>
      </c>
      <c r="J66" s="6"/>
      <c r="K66" s="249" t="s">
        <v>152</v>
      </c>
      <c r="L66" s="249" t="s">
        <v>153</v>
      </c>
      <c r="M66" s="249" t="s">
        <v>106</v>
      </c>
    </row>
    <row r="67" spans="1:14">
      <c r="C67" s="98"/>
      <c r="D67" s="246"/>
      <c r="E67" s="246"/>
      <c r="I67" s="894" t="s">
        <v>231</v>
      </c>
      <c r="J67" s="895"/>
      <c r="K67" s="896">
        <v>22768.341955912801</v>
      </c>
      <c r="L67" s="896">
        <v>601.44963488432404</v>
      </c>
      <c r="M67" s="896">
        <v>3073.5737544098542</v>
      </c>
    </row>
    <row r="68" spans="1:14">
      <c r="A68" s="2" t="s">
        <v>231</v>
      </c>
      <c r="C68" s="896">
        <v>5832.8766037744799</v>
      </c>
      <c r="D68" s="896">
        <v>-80.135696927343602</v>
      </c>
      <c r="E68" s="896">
        <v>713.22057377381543</v>
      </c>
    </row>
    <row r="71" spans="1:14">
      <c r="A71" s="248"/>
      <c r="C71" s="249"/>
      <c r="D71" s="249"/>
      <c r="E71" s="249"/>
    </row>
    <row r="72" spans="1:14">
      <c r="C72" s="246"/>
      <c r="D72" s="246"/>
      <c r="E72" s="246"/>
    </row>
    <row r="73" spans="1:14">
      <c r="K73" s="98"/>
      <c r="L73" s="98"/>
      <c r="M73" s="98"/>
    </row>
    <row r="74" spans="1:14">
      <c r="K74" s="98"/>
      <c r="L74" s="98"/>
      <c r="M74" s="98"/>
    </row>
    <row r="75" spans="1:14">
      <c r="N75" s="182"/>
    </row>
    <row r="76" spans="1:14">
      <c r="M76" s="20"/>
      <c r="N76" s="20"/>
    </row>
    <row r="77" spans="1:14">
      <c r="N77" s="20">
        <f>+N75-N76</f>
        <v>0</v>
      </c>
    </row>
    <row r="1048567" spans="3:3">
      <c r="C1048567" s="216"/>
    </row>
  </sheetData>
  <mergeCells count="8">
    <mergeCell ref="C42:G42"/>
    <mergeCell ref="J42:N42"/>
    <mergeCell ref="J6:N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1433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showGridLines="0" zoomScale="115" zoomScaleNormal="115" zoomScaleSheetLayoutView="110" workbookViewId="0">
      <selection sqref="A1:M1"/>
    </sheetView>
  </sheetViews>
  <sheetFormatPr defaultColWidth="9.81640625" defaultRowHeight="10.5"/>
  <cols>
    <col min="1" max="1" width="42.7265625" style="452" customWidth="1"/>
    <col min="2" max="2" width="1.7265625" style="346" customWidth="1"/>
    <col min="3" max="5" width="7.7265625" style="343" customWidth="1"/>
    <col min="6" max="7" width="7.7265625" style="346" customWidth="1"/>
    <col min="8" max="8" width="4.7265625" style="343" customWidth="1"/>
    <col min="9" max="13" width="7.7265625" style="343" customWidth="1"/>
    <col min="14" max="16384" width="9.81640625" style="343"/>
  </cols>
  <sheetData>
    <row r="1" spans="1:13" ht="11.15" customHeight="1">
      <c r="A1" s="911" t="s">
        <v>218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</row>
    <row r="2" spans="1:13" ht="11.15" customHeight="1">
      <c r="A2" s="912" t="s">
        <v>22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</row>
    <row r="3" spans="1:13" ht="11.15" customHeight="1">
      <c r="A3" s="913" t="s">
        <v>2</v>
      </c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</row>
    <row r="4" spans="1:13" ht="11.15" customHeight="1">
      <c r="A4" s="448"/>
      <c r="B4" s="326"/>
      <c r="C4" s="325"/>
      <c r="D4" s="325"/>
      <c r="E4" s="327"/>
      <c r="F4" s="326"/>
      <c r="G4" s="326"/>
      <c r="H4" s="325"/>
      <c r="I4" s="325"/>
      <c r="J4" s="329"/>
    </row>
    <row r="5" spans="1:13" s="346" customFormat="1" ht="15" customHeight="1">
      <c r="A5" s="449"/>
      <c r="B5" s="344"/>
      <c r="C5" s="909" t="s">
        <v>240</v>
      </c>
      <c r="D5" s="909"/>
      <c r="E5" s="909"/>
      <c r="F5" s="909"/>
      <c r="G5" s="909"/>
      <c r="H5" s="364"/>
      <c r="I5" s="909" t="s">
        <v>118</v>
      </c>
      <c r="J5" s="909"/>
      <c r="K5" s="909"/>
      <c r="L5" s="909"/>
      <c r="M5" s="909"/>
    </row>
    <row r="6" spans="1:13" s="362" customFormat="1" ht="15" customHeight="1">
      <c r="A6" s="374"/>
      <c r="B6" s="358"/>
      <c r="C6" s="360">
        <v>2017</v>
      </c>
      <c r="D6" s="359" t="s">
        <v>4</v>
      </c>
      <c r="E6" s="360">
        <v>2016</v>
      </c>
      <c r="F6" s="359" t="s">
        <v>4</v>
      </c>
      <c r="G6" s="358" t="s">
        <v>111</v>
      </c>
      <c r="H6" s="359"/>
      <c r="I6" s="360">
        <v>2017</v>
      </c>
      <c r="J6" s="359" t="s">
        <v>4</v>
      </c>
      <c r="K6" s="360">
        <v>2016</v>
      </c>
      <c r="L6" s="359" t="s">
        <v>4</v>
      </c>
      <c r="M6" s="358" t="s">
        <v>111</v>
      </c>
    </row>
    <row r="7" spans="1:13" ht="13" customHeight="1">
      <c r="A7" s="289" t="s">
        <v>177</v>
      </c>
      <c r="B7" s="271"/>
      <c r="C7" s="394">
        <v>40182</v>
      </c>
      <c r="D7" s="395">
        <v>100</v>
      </c>
      <c r="E7" s="394">
        <v>36493</v>
      </c>
      <c r="F7" s="395">
        <v>100</v>
      </c>
      <c r="G7" s="395">
        <v>10.108787986737177</v>
      </c>
      <c r="H7" s="596"/>
      <c r="I7" s="394">
        <v>154204</v>
      </c>
      <c r="J7" s="395">
        <v>100</v>
      </c>
      <c r="K7" s="394">
        <v>137139</v>
      </c>
      <c r="L7" s="395">
        <v>100</v>
      </c>
      <c r="M7" s="395">
        <v>12.443579142330051</v>
      </c>
    </row>
    <row r="8" spans="1:13" ht="13" customHeight="1">
      <c r="A8" s="375" t="s">
        <v>6</v>
      </c>
      <c r="B8" s="271"/>
      <c r="C8" s="805">
        <v>23788</v>
      </c>
      <c r="D8" s="397">
        <v>59.2</v>
      </c>
      <c r="E8" s="805">
        <v>21676</v>
      </c>
      <c r="F8" s="397">
        <v>59.4</v>
      </c>
      <c r="G8" s="397">
        <v>9.7434951097988609</v>
      </c>
      <c r="H8" s="596"/>
      <c r="I8" s="805">
        <v>95959</v>
      </c>
      <c r="J8" s="397">
        <v>62.2</v>
      </c>
      <c r="K8" s="805">
        <v>86149</v>
      </c>
      <c r="L8" s="397">
        <v>62.8</v>
      </c>
      <c r="M8" s="397">
        <v>11.387247675538891</v>
      </c>
    </row>
    <row r="9" spans="1:13" ht="13" customHeight="1">
      <c r="A9" s="376" t="s">
        <v>7</v>
      </c>
      <c r="B9" s="271"/>
      <c r="C9" s="806">
        <v>16394</v>
      </c>
      <c r="D9" s="399">
        <v>40.799999999999997</v>
      </c>
      <c r="E9" s="806">
        <v>14817</v>
      </c>
      <c r="F9" s="399">
        <v>40.6</v>
      </c>
      <c r="G9" s="399">
        <v>10.643180130930684</v>
      </c>
      <c r="H9" s="596"/>
      <c r="I9" s="806">
        <v>58245</v>
      </c>
      <c r="J9" s="399">
        <v>37.799999999999997</v>
      </c>
      <c r="K9" s="806">
        <v>50990</v>
      </c>
      <c r="L9" s="399">
        <v>37.200000000000003</v>
      </c>
      <c r="M9" s="399">
        <v>14.228280054912723</v>
      </c>
    </row>
    <row r="10" spans="1:13" ht="13" customHeight="1">
      <c r="A10" s="377" t="s">
        <v>34</v>
      </c>
      <c r="B10" s="347"/>
      <c r="C10" s="807">
        <v>812</v>
      </c>
      <c r="D10" s="400">
        <v>2</v>
      </c>
      <c r="E10" s="807">
        <v>775</v>
      </c>
      <c r="F10" s="400">
        <v>2.1</v>
      </c>
      <c r="G10" s="400">
        <v>4.7741935483871067</v>
      </c>
      <c r="H10" s="596"/>
      <c r="I10" s="807">
        <v>3170</v>
      </c>
      <c r="J10" s="400">
        <v>2.1</v>
      </c>
      <c r="K10" s="807">
        <v>2924</v>
      </c>
      <c r="L10" s="400">
        <v>2.1</v>
      </c>
      <c r="M10" s="400">
        <v>8.4131326949384402</v>
      </c>
    </row>
    <row r="11" spans="1:13" ht="13" customHeight="1">
      <c r="A11" s="378" t="s">
        <v>35</v>
      </c>
      <c r="B11" s="347"/>
      <c r="C11" s="394">
        <v>11162</v>
      </c>
      <c r="D11" s="395">
        <v>27.799999999999997</v>
      </c>
      <c r="E11" s="394">
        <v>9905</v>
      </c>
      <c r="F11" s="395">
        <v>27.2</v>
      </c>
      <c r="G11" s="395">
        <v>12.690560323069167</v>
      </c>
      <c r="H11" s="596"/>
      <c r="I11" s="394">
        <v>42406</v>
      </c>
      <c r="J11" s="395">
        <v>27.499999999999993</v>
      </c>
      <c r="K11" s="394">
        <v>36341</v>
      </c>
      <c r="L11" s="395">
        <v>26.500000000000004</v>
      </c>
      <c r="M11" s="395">
        <v>16.68913898902067</v>
      </c>
    </row>
    <row r="12" spans="1:13" ht="13" customHeight="1">
      <c r="A12" s="375" t="s">
        <v>75</v>
      </c>
      <c r="B12" s="271"/>
      <c r="C12" s="805">
        <v>41</v>
      </c>
      <c r="D12" s="397">
        <v>0.1</v>
      </c>
      <c r="E12" s="805">
        <v>54</v>
      </c>
      <c r="F12" s="397">
        <v>0.1</v>
      </c>
      <c r="G12" s="397">
        <v>-24.074074074074069</v>
      </c>
      <c r="H12" s="596"/>
      <c r="I12" s="805">
        <v>226</v>
      </c>
      <c r="J12" s="397">
        <v>0.1</v>
      </c>
      <c r="K12" s="805">
        <v>240</v>
      </c>
      <c r="L12" s="397">
        <v>0.2</v>
      </c>
      <c r="M12" s="397">
        <v>-5.8333333333333348</v>
      </c>
    </row>
    <row r="13" spans="1:13" s="349" customFormat="1" ht="13" customHeight="1">
      <c r="A13" s="379" t="s">
        <v>72</v>
      </c>
      <c r="B13" s="348"/>
      <c r="C13" s="817">
        <v>4379</v>
      </c>
      <c r="D13" s="399">
        <v>10.9</v>
      </c>
      <c r="E13" s="817">
        <v>4083</v>
      </c>
      <c r="F13" s="399">
        <v>11.2</v>
      </c>
      <c r="G13" s="399">
        <v>7.2495713935831541</v>
      </c>
      <c r="H13" s="583"/>
      <c r="I13" s="817">
        <v>12443</v>
      </c>
      <c r="J13" s="399">
        <v>8.1</v>
      </c>
      <c r="K13" s="817">
        <v>11485</v>
      </c>
      <c r="L13" s="399">
        <v>8.4</v>
      </c>
      <c r="M13" s="399">
        <v>8.3413147583804914</v>
      </c>
    </row>
    <row r="14" spans="1:13" ht="13" customHeight="1">
      <c r="A14" s="380" t="s">
        <v>17</v>
      </c>
      <c r="C14" s="807">
        <v>1134</v>
      </c>
      <c r="D14" s="400">
        <v>2.8</v>
      </c>
      <c r="E14" s="807">
        <v>975</v>
      </c>
      <c r="F14" s="400">
        <v>2.7</v>
      </c>
      <c r="G14" s="400">
        <v>16.307692307692314</v>
      </c>
      <c r="H14" s="583"/>
      <c r="I14" s="807">
        <v>4262</v>
      </c>
      <c r="J14" s="400">
        <v>2.8</v>
      </c>
      <c r="K14" s="807">
        <v>3607</v>
      </c>
      <c r="L14" s="400">
        <v>2.6</v>
      </c>
      <c r="M14" s="400">
        <v>18.159135015248129</v>
      </c>
    </row>
    <row r="15" spans="1:13" ht="13" customHeight="1">
      <c r="A15" s="381" t="s">
        <v>76</v>
      </c>
      <c r="B15" s="271"/>
      <c r="C15" s="820">
        <v>96</v>
      </c>
      <c r="D15" s="403">
        <v>0.29999999999999982</v>
      </c>
      <c r="E15" s="820">
        <v>105</v>
      </c>
      <c r="F15" s="403">
        <v>0.20000000000000018</v>
      </c>
      <c r="G15" s="403">
        <v>-8.5714285714285747</v>
      </c>
      <c r="H15" s="583"/>
      <c r="I15" s="820">
        <v>437</v>
      </c>
      <c r="J15" s="403">
        <v>0.20000000000000018</v>
      </c>
      <c r="K15" s="820">
        <v>417</v>
      </c>
      <c r="L15" s="403">
        <v>0.30000000000000027</v>
      </c>
      <c r="M15" s="403">
        <v>4.7961630695443569</v>
      </c>
    </row>
    <row r="16" spans="1:13" ht="13" customHeight="1">
      <c r="A16" s="382" t="s">
        <v>180</v>
      </c>
      <c r="B16" s="271"/>
      <c r="C16" s="807">
        <v>5609</v>
      </c>
      <c r="D16" s="400">
        <v>14</v>
      </c>
      <c r="E16" s="807">
        <v>5163</v>
      </c>
      <c r="F16" s="400">
        <v>14.1</v>
      </c>
      <c r="G16" s="400">
        <v>8.6383885337981692</v>
      </c>
      <c r="H16" s="596"/>
      <c r="I16" s="807">
        <v>17142</v>
      </c>
      <c r="J16" s="400">
        <v>11.1</v>
      </c>
      <c r="K16" s="807">
        <v>15509</v>
      </c>
      <c r="L16" s="400">
        <v>11.3</v>
      </c>
      <c r="M16" s="400">
        <v>10.529370043200714</v>
      </c>
    </row>
    <row r="17" spans="1:13" s="351" customFormat="1" ht="13" customHeight="1" thickBot="1">
      <c r="A17" s="383" t="s">
        <v>18</v>
      </c>
      <c r="B17" s="367"/>
      <c r="C17" s="812">
        <v>2665</v>
      </c>
      <c r="D17" s="404"/>
      <c r="E17" s="812">
        <v>2561</v>
      </c>
      <c r="F17" s="644"/>
      <c r="G17" s="405">
        <v>4.0609137055837463</v>
      </c>
      <c r="H17" s="535"/>
      <c r="I17" s="812">
        <v>8563</v>
      </c>
      <c r="J17" s="404"/>
      <c r="K17" s="812">
        <v>7632</v>
      </c>
      <c r="L17" s="644"/>
      <c r="M17" s="405">
        <v>12.198637316561856</v>
      </c>
    </row>
    <row r="18" spans="1:13" ht="11.15" customHeight="1">
      <c r="A18" s="384"/>
      <c r="B18" s="271"/>
      <c r="C18" s="411">
        <v>12015</v>
      </c>
      <c r="D18" s="412"/>
      <c r="E18" s="411">
        <v>10734</v>
      </c>
      <c r="F18" s="413"/>
      <c r="G18" s="414">
        <v>11.934041363890447</v>
      </c>
      <c r="H18" s="416"/>
      <c r="I18" s="416"/>
      <c r="J18" s="416"/>
      <c r="K18" s="408"/>
      <c r="L18" s="417"/>
      <c r="M18" s="417"/>
    </row>
    <row r="19" spans="1:13" s="346" customFormat="1" ht="15" customHeight="1">
      <c r="A19" s="527" t="s">
        <v>36</v>
      </c>
      <c r="B19" s="271"/>
      <c r="C19" s="421"/>
      <c r="D19" s="418"/>
      <c r="E19" s="421"/>
      <c r="F19" s="420"/>
      <c r="G19" s="420"/>
      <c r="H19" s="420"/>
      <c r="I19" s="418"/>
      <c r="J19" s="418"/>
      <c r="K19" s="419"/>
      <c r="L19" s="420"/>
      <c r="M19" s="420"/>
    </row>
    <row r="20" spans="1:13" s="648" customFormat="1" ht="13" customHeight="1">
      <c r="A20" s="540" t="s">
        <v>37</v>
      </c>
      <c r="B20" s="647"/>
      <c r="C20" s="821"/>
      <c r="D20" s="828"/>
      <c r="E20" s="821"/>
      <c r="F20" s="406"/>
      <c r="G20" s="870"/>
      <c r="H20" s="533"/>
      <c r="I20" s="878">
        <v>16526</v>
      </c>
      <c r="J20" s="879"/>
      <c r="K20" s="878">
        <v>15225</v>
      </c>
      <c r="L20" s="880"/>
      <c r="M20" s="881">
        <v>8.5451559934318624</v>
      </c>
    </row>
    <row r="21" spans="1:13" ht="13" customHeight="1">
      <c r="A21" s="387" t="s">
        <v>134</v>
      </c>
      <c r="B21" s="354"/>
      <c r="C21" s="645"/>
      <c r="D21" s="431"/>
      <c r="E21" s="645">
        <v>458</v>
      </c>
      <c r="F21" s="431"/>
      <c r="G21" s="537">
        <v>-100</v>
      </c>
      <c r="H21" s="349"/>
      <c r="I21" s="882"/>
      <c r="J21" s="883"/>
      <c r="K21" s="882"/>
      <c r="L21" s="883"/>
      <c r="M21" s="884"/>
    </row>
    <row r="22" spans="1:13" ht="13" customHeight="1">
      <c r="A22" s="542" t="s">
        <v>167</v>
      </c>
      <c r="B22" s="354"/>
      <c r="C22" s="428">
        <v>527</v>
      </c>
      <c r="D22" s="543"/>
      <c r="E22" s="428">
        <v>530</v>
      </c>
      <c r="F22" s="543"/>
      <c r="G22" s="885">
        <v>-0.56603773584905648</v>
      </c>
      <c r="H22" s="349"/>
      <c r="I22" s="882"/>
      <c r="J22" s="883"/>
      <c r="K22" s="882"/>
      <c r="L22" s="883"/>
      <c r="M22" s="884"/>
    </row>
    <row r="23" spans="1:13" ht="13" customHeight="1">
      <c r="A23" s="541" t="s">
        <v>168</v>
      </c>
      <c r="B23" s="354"/>
      <c r="C23" s="409">
        <v>1301</v>
      </c>
      <c r="D23" s="426"/>
      <c r="E23" s="409">
        <v>1164</v>
      </c>
      <c r="F23" s="426"/>
      <c r="G23" s="423">
        <v>11.769759450171824</v>
      </c>
      <c r="H23" s="349"/>
      <c r="I23" s="886"/>
      <c r="J23" s="887"/>
      <c r="K23" s="886"/>
      <c r="L23" s="887"/>
      <c r="M23" s="888"/>
    </row>
    <row r="24" spans="1:13" ht="13" hidden="1" customHeight="1">
      <c r="A24" s="542" t="s">
        <v>166</v>
      </c>
      <c r="B24" s="354"/>
      <c r="C24" s="428">
        <v>1304</v>
      </c>
      <c r="D24" s="543"/>
      <c r="E24" s="428">
        <v>1154</v>
      </c>
      <c r="F24" s="543"/>
      <c r="G24" s="885">
        <v>12.998266897746969</v>
      </c>
      <c r="H24" s="533"/>
      <c r="I24" s="886"/>
      <c r="J24" s="889"/>
      <c r="K24" s="886"/>
      <c r="L24" s="889"/>
      <c r="M24" s="888"/>
    </row>
    <row r="25" spans="1:13" ht="13" customHeight="1">
      <c r="A25" s="387"/>
      <c r="B25" s="354"/>
      <c r="C25" s="409"/>
      <c r="D25" s="433"/>
      <c r="E25" s="409"/>
      <c r="F25" s="890"/>
      <c r="G25" s="396"/>
      <c r="H25" s="533"/>
      <c r="I25" s="886"/>
      <c r="J25" s="889"/>
      <c r="K25" s="886"/>
      <c r="L25" s="889"/>
      <c r="M25" s="891"/>
    </row>
    <row r="26" spans="1:13" ht="13" customHeight="1">
      <c r="A26" s="388" t="s">
        <v>217</v>
      </c>
      <c r="B26" s="353"/>
      <c r="C26" s="822"/>
      <c r="D26" s="536"/>
      <c r="E26" s="822"/>
      <c r="F26" s="536"/>
      <c r="G26" s="406"/>
      <c r="H26" s="533"/>
      <c r="I26" s="892"/>
      <c r="J26" s="893"/>
      <c r="K26" s="892"/>
      <c r="L26" s="893"/>
      <c r="M26" s="892"/>
    </row>
    <row r="27" spans="1:13" ht="13" customHeight="1">
      <c r="A27" s="544" t="s">
        <v>38</v>
      </c>
      <c r="B27" s="353"/>
      <c r="C27" s="425">
        <v>770.88650860578991</v>
      </c>
      <c r="D27" s="400"/>
      <c r="E27" s="425">
        <v>736.58741915076826</v>
      </c>
      <c r="F27" s="400"/>
      <c r="G27" s="400">
        <v>4.6564859191548624</v>
      </c>
      <c r="H27" s="533"/>
      <c r="I27" s="425">
        <v>765.4965285335453</v>
      </c>
      <c r="J27" s="400"/>
      <c r="K27" s="425">
        <v>719.77706355925739</v>
      </c>
      <c r="L27" s="400"/>
      <c r="M27" s="400">
        <v>6.351892452394603</v>
      </c>
    </row>
    <row r="28" spans="1:13" s="351" customFormat="1" ht="13" customHeight="1">
      <c r="A28" s="541" t="s">
        <v>178</v>
      </c>
      <c r="B28" s="354"/>
      <c r="C28" s="436">
        <v>22.954443131923238</v>
      </c>
      <c r="D28" s="396"/>
      <c r="E28" s="436">
        <v>22.518844585107093</v>
      </c>
      <c r="F28" s="396"/>
      <c r="G28" s="396">
        <v>1.9343734318599592</v>
      </c>
      <c r="H28" s="533"/>
      <c r="I28" s="436">
        <v>23.11303055097784</v>
      </c>
      <c r="J28" s="396"/>
      <c r="K28" s="436">
        <v>22.558555080497388</v>
      </c>
      <c r="L28" s="396"/>
      <c r="M28" s="396">
        <v>2.4579387664762864</v>
      </c>
    </row>
    <row r="29" spans="1:13" ht="13" customHeight="1" thickBot="1">
      <c r="A29" s="545" t="s">
        <v>179</v>
      </c>
      <c r="B29" s="534"/>
      <c r="C29" s="819">
        <v>33.583324334002313</v>
      </c>
      <c r="D29" s="410"/>
      <c r="E29" s="819">
        <v>32.709822938158766</v>
      </c>
      <c r="F29" s="410"/>
      <c r="G29" s="410">
        <v>2.670455897896451</v>
      </c>
      <c r="H29" s="533"/>
      <c r="I29" s="819">
        <v>33.119695266493714</v>
      </c>
      <c r="J29" s="410"/>
      <c r="K29" s="819">
        <v>31.907055260889837</v>
      </c>
      <c r="L29" s="410"/>
      <c r="M29" s="410">
        <v>3.8005387701518067</v>
      </c>
    </row>
    <row r="30" spans="1:13" ht="11.15" customHeight="1"/>
    <row r="31" spans="1:13" ht="11.15" customHeight="1">
      <c r="A31" s="356"/>
      <c r="B31" s="356"/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</row>
    <row r="32" spans="1:13" ht="11">
      <c r="A32" s="926" t="s">
        <v>233</v>
      </c>
      <c r="B32" s="926"/>
      <c r="C32" s="926"/>
      <c r="D32" s="926"/>
      <c r="E32" s="926"/>
      <c r="F32" s="926"/>
      <c r="G32" s="926"/>
      <c r="H32" s="926"/>
      <c r="I32" s="926"/>
      <c r="J32" s="926"/>
      <c r="K32" s="926"/>
      <c r="L32" s="926"/>
      <c r="M32" s="926"/>
    </row>
    <row r="33" ht="20.25" customHeight="1"/>
  </sheetData>
  <mergeCells count="6">
    <mergeCell ref="A32:M32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3793" r:id="rId4">
          <objectPr defaultSize="0" autoPict="0" r:id="rId5">
            <anchor moveWithCells="1" sizeWithCells="1">
              <from>
                <xdr:col>4</xdr:col>
                <xdr:colOff>0</xdr:colOff>
                <xdr:row>31</xdr:row>
                <xdr:rowOff>12700</xdr:rowOff>
              </from>
              <to>
                <xdr:col>4</xdr:col>
                <xdr:colOff>0</xdr:colOff>
                <xdr:row>32</xdr:row>
                <xdr:rowOff>50800</xdr:rowOff>
              </to>
            </anchor>
          </objectPr>
        </oleObject>
      </mc:Choice>
      <mc:Fallback>
        <oleObject progId="Word.Picture.8" shapeId="33793" r:id="rId4"/>
      </mc:Fallback>
    </mc:AlternateContent>
    <mc:AlternateContent xmlns:mc="http://schemas.openxmlformats.org/markup-compatibility/2006">
      <mc:Choice Requires="x14">
        <oleObject progId="Word.Picture.8" shapeId="33794" r:id="rId6">
          <objectPr defaultSize="0" autoPict="0" r:id="rId5">
            <anchor moveWithCells="1" sizeWithCells="1">
              <from>
                <xdr:col>4</xdr:col>
                <xdr:colOff>0</xdr:colOff>
                <xdr:row>31</xdr:row>
                <xdr:rowOff>0</xdr:rowOff>
              </from>
              <to>
                <xdr:col>4</xdr:col>
                <xdr:colOff>0</xdr:colOff>
                <xdr:row>31</xdr:row>
                <xdr:rowOff>50800</xdr:rowOff>
              </to>
            </anchor>
          </objectPr>
        </oleObject>
      </mc:Choice>
      <mc:Fallback>
        <oleObject progId="Word.Picture.8" shapeId="33794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opLeftCell="A9" zoomScaleNormal="100" zoomScaleSheetLayoutView="110" workbookViewId="0">
      <selection sqref="A1:M31"/>
    </sheetView>
  </sheetViews>
  <sheetFormatPr defaultColWidth="9.81640625" defaultRowHeight="10.5"/>
  <cols>
    <col min="1" max="1" width="42.7265625" style="320" customWidth="1"/>
    <col min="2" max="2" width="1.7265625" style="324" customWidth="1"/>
    <col min="3" max="5" width="7.7265625" style="320" customWidth="1"/>
    <col min="6" max="7" width="7.7265625" style="324" customWidth="1"/>
    <col min="8" max="8" width="4.7265625" style="782" customWidth="1"/>
    <col min="9" max="13" width="7.7265625" style="320" customWidth="1"/>
    <col min="14" max="14" width="11.7265625" style="320" customWidth="1"/>
    <col min="15" max="16384" width="9.81640625" style="320"/>
  </cols>
  <sheetData>
    <row r="1" spans="1:14" ht="11.15" customHeight="1">
      <c r="A1" s="911" t="s">
        <v>219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459"/>
    </row>
    <row r="2" spans="1:14" ht="11.15" customHeight="1">
      <c r="A2" s="912" t="s">
        <v>22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321"/>
    </row>
    <row r="3" spans="1:14" ht="11.15" customHeight="1">
      <c r="A3" s="913" t="s">
        <v>2</v>
      </c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  <c r="N3" s="322"/>
    </row>
    <row r="4" spans="1:14" ht="11.15" customHeight="1">
      <c r="A4" s="341"/>
      <c r="B4" s="341"/>
      <c r="C4" s="341"/>
      <c r="D4" s="341"/>
      <c r="E4" s="341"/>
      <c r="F4" s="341"/>
      <c r="G4" s="341"/>
      <c r="H4" s="322"/>
      <c r="I4" s="460"/>
      <c r="J4" s="323"/>
      <c r="K4" s="323"/>
      <c r="L4" s="323"/>
      <c r="M4" s="324"/>
    </row>
    <row r="5" spans="1:14" s="324" customFormat="1" ht="15" customHeight="1">
      <c r="A5" s="330"/>
      <c r="B5" s="330"/>
      <c r="C5" s="929" t="s">
        <v>240</v>
      </c>
      <c r="D5" s="929"/>
      <c r="E5" s="929"/>
      <c r="F5" s="929"/>
      <c r="G5" s="929"/>
      <c r="H5" s="776"/>
      <c r="I5" s="929" t="s">
        <v>118</v>
      </c>
      <c r="J5" s="929"/>
      <c r="K5" s="929"/>
      <c r="L5" s="929"/>
      <c r="M5" s="929"/>
    </row>
    <row r="6" spans="1:14" s="470" customFormat="1" ht="15" customHeight="1">
      <c r="A6" s="466"/>
      <c r="B6" s="466"/>
      <c r="C6" s="467">
        <v>2017</v>
      </c>
      <c r="D6" s="468" t="s">
        <v>4</v>
      </c>
      <c r="E6" s="467">
        <v>2016</v>
      </c>
      <c r="F6" s="468" t="s">
        <v>4</v>
      </c>
      <c r="G6" s="466" t="s">
        <v>111</v>
      </c>
      <c r="H6" s="777"/>
      <c r="I6" s="467">
        <v>2017</v>
      </c>
      <c r="J6" s="468" t="s">
        <v>4</v>
      </c>
      <c r="K6" s="467">
        <v>2016</v>
      </c>
      <c r="L6" s="468" t="s">
        <v>4</v>
      </c>
      <c r="M6" s="466" t="s">
        <v>111</v>
      </c>
      <c r="N6" s="469"/>
    </row>
    <row r="7" spans="1:14" ht="13" customHeight="1">
      <c r="A7" s="509" t="s">
        <v>177</v>
      </c>
      <c r="B7" s="260"/>
      <c r="C7" s="810">
        <v>12571</v>
      </c>
      <c r="D7" s="475">
        <v>100</v>
      </c>
      <c r="E7" s="810">
        <v>12293</v>
      </c>
      <c r="F7" s="475">
        <v>100</v>
      </c>
      <c r="G7" s="475">
        <v>2.2614496054665256</v>
      </c>
      <c r="H7" s="506"/>
      <c r="I7" s="810">
        <v>47421</v>
      </c>
      <c r="J7" s="475">
        <v>100</v>
      </c>
      <c r="K7" s="810">
        <v>43411</v>
      </c>
      <c r="L7" s="475">
        <v>100</v>
      </c>
      <c r="M7" s="475">
        <v>9.2372900877657713</v>
      </c>
    </row>
    <row r="8" spans="1:14" ht="13" customHeight="1">
      <c r="A8" s="510" t="s">
        <v>6</v>
      </c>
      <c r="B8" s="260"/>
      <c r="C8" s="803">
        <v>8522</v>
      </c>
      <c r="D8" s="476">
        <v>67.8</v>
      </c>
      <c r="E8" s="803">
        <v>8506</v>
      </c>
      <c r="F8" s="476">
        <v>69.2</v>
      </c>
      <c r="G8" s="476">
        <v>0.188102515871158</v>
      </c>
      <c r="H8" s="502"/>
      <c r="I8" s="803">
        <v>33208</v>
      </c>
      <c r="J8" s="476">
        <v>70</v>
      </c>
      <c r="K8" s="803">
        <v>30673</v>
      </c>
      <c r="L8" s="476">
        <v>70.7</v>
      </c>
      <c r="M8" s="476">
        <v>8.2645975287712226</v>
      </c>
    </row>
    <row r="9" spans="1:14" ht="13" customHeight="1">
      <c r="A9" s="511" t="s">
        <v>7</v>
      </c>
      <c r="B9" s="260"/>
      <c r="C9" s="823">
        <v>4049</v>
      </c>
      <c r="D9" s="477">
        <v>32.200000000000003</v>
      </c>
      <c r="E9" s="823">
        <v>3787</v>
      </c>
      <c r="F9" s="477">
        <v>30.8</v>
      </c>
      <c r="G9" s="477">
        <v>6.9184050699762301</v>
      </c>
      <c r="H9" s="502"/>
      <c r="I9" s="823">
        <v>14213</v>
      </c>
      <c r="J9" s="477">
        <v>30</v>
      </c>
      <c r="K9" s="823">
        <v>12738</v>
      </c>
      <c r="L9" s="477">
        <v>29.3</v>
      </c>
      <c r="M9" s="477">
        <v>11.579525828230498</v>
      </c>
    </row>
    <row r="10" spans="1:14" ht="13" customHeight="1">
      <c r="A10" s="512" t="s">
        <v>34</v>
      </c>
      <c r="B10" s="331"/>
      <c r="C10" s="818">
        <v>417</v>
      </c>
      <c r="D10" s="478">
        <v>3.3</v>
      </c>
      <c r="E10" s="818">
        <v>481</v>
      </c>
      <c r="F10" s="478">
        <v>3.9</v>
      </c>
      <c r="G10" s="478">
        <v>-13.305613305613306</v>
      </c>
      <c r="H10" s="778"/>
      <c r="I10" s="818">
        <v>1643</v>
      </c>
      <c r="J10" s="478">
        <v>3.5</v>
      </c>
      <c r="K10" s="818">
        <v>1769</v>
      </c>
      <c r="L10" s="478">
        <v>4.0999999999999996</v>
      </c>
      <c r="M10" s="478">
        <v>-7.1226681741096698</v>
      </c>
    </row>
    <row r="11" spans="1:14" ht="13" customHeight="1">
      <c r="A11" s="513" t="s">
        <v>35</v>
      </c>
      <c r="B11" s="331"/>
      <c r="C11" s="810">
        <v>2971</v>
      </c>
      <c r="D11" s="475">
        <v>23.6</v>
      </c>
      <c r="E11" s="810">
        <v>2691</v>
      </c>
      <c r="F11" s="475">
        <v>21.9</v>
      </c>
      <c r="G11" s="475">
        <v>10.405053883314764</v>
      </c>
      <c r="H11" s="502"/>
      <c r="I11" s="810">
        <v>10850</v>
      </c>
      <c r="J11" s="475">
        <v>22.900000000000002</v>
      </c>
      <c r="K11" s="810">
        <v>9365</v>
      </c>
      <c r="L11" s="475">
        <v>21.5</v>
      </c>
      <c r="M11" s="475">
        <v>15.856914041644421</v>
      </c>
    </row>
    <row r="12" spans="1:14" ht="13" customHeight="1">
      <c r="A12" s="510" t="s">
        <v>75</v>
      </c>
      <c r="B12" s="260"/>
      <c r="C12" s="803">
        <v>38</v>
      </c>
      <c r="D12" s="476">
        <v>0.3</v>
      </c>
      <c r="E12" s="803">
        <v>16</v>
      </c>
      <c r="F12" s="476">
        <v>0.1</v>
      </c>
      <c r="G12" s="476">
        <v>137.5</v>
      </c>
      <c r="H12" s="502"/>
      <c r="I12" s="803">
        <v>102</v>
      </c>
      <c r="J12" s="476">
        <v>0.2</v>
      </c>
      <c r="K12" s="803">
        <v>32</v>
      </c>
      <c r="L12" s="476">
        <v>0.1</v>
      </c>
      <c r="M12" s="476" t="s">
        <v>105</v>
      </c>
    </row>
    <row r="13" spans="1:14" s="333" customFormat="1" ht="13" customHeight="1">
      <c r="A13" s="514" t="s">
        <v>72</v>
      </c>
      <c r="B13" s="332"/>
      <c r="C13" s="824">
        <v>623</v>
      </c>
      <c r="D13" s="477">
        <v>5</v>
      </c>
      <c r="E13" s="824">
        <v>599</v>
      </c>
      <c r="F13" s="477">
        <v>4.9000000000000004</v>
      </c>
      <c r="G13" s="482">
        <v>4.0066777963272182</v>
      </c>
      <c r="H13" s="506"/>
      <c r="I13" s="824">
        <v>1618</v>
      </c>
      <c r="J13" s="477">
        <v>3.4</v>
      </c>
      <c r="K13" s="824">
        <v>1572</v>
      </c>
      <c r="L13" s="477">
        <v>3.6</v>
      </c>
      <c r="M13" s="482">
        <v>2.9262086513994978</v>
      </c>
    </row>
    <row r="14" spans="1:14" ht="13" customHeight="1">
      <c r="A14" s="515" t="s">
        <v>17</v>
      </c>
      <c r="C14" s="818">
        <v>191</v>
      </c>
      <c r="D14" s="478">
        <v>1.5</v>
      </c>
      <c r="E14" s="818">
        <v>148</v>
      </c>
      <c r="F14" s="478">
        <v>1.2</v>
      </c>
      <c r="G14" s="478">
        <v>29.054054054054056</v>
      </c>
      <c r="H14" s="783"/>
      <c r="I14" s="818">
        <v>661</v>
      </c>
      <c r="J14" s="478">
        <v>1.4</v>
      </c>
      <c r="K14" s="818">
        <v>546</v>
      </c>
      <c r="L14" s="478">
        <v>1.3</v>
      </c>
      <c r="M14" s="478">
        <v>21.062271062271055</v>
      </c>
    </row>
    <row r="15" spans="1:14" ht="13" customHeight="1">
      <c r="A15" s="516" t="s">
        <v>76</v>
      </c>
      <c r="B15" s="260"/>
      <c r="C15" s="825">
        <v>83</v>
      </c>
      <c r="D15" s="483">
        <v>0.59999999999999964</v>
      </c>
      <c r="E15" s="825">
        <v>76</v>
      </c>
      <c r="F15" s="483">
        <v>0.59999999999999987</v>
      </c>
      <c r="G15" s="479">
        <v>9.210526315789469</v>
      </c>
      <c r="H15" s="502"/>
      <c r="I15" s="825">
        <v>312</v>
      </c>
      <c r="J15" s="483">
        <v>0.70000000000000018</v>
      </c>
      <c r="K15" s="825">
        <v>317</v>
      </c>
      <c r="L15" s="483">
        <v>0.69999999999999951</v>
      </c>
      <c r="M15" s="479">
        <v>-1.5772870662460581</v>
      </c>
    </row>
    <row r="16" spans="1:14" ht="13" customHeight="1">
      <c r="A16" s="517" t="s">
        <v>180</v>
      </c>
      <c r="B16" s="260"/>
      <c r="C16" s="818">
        <v>897</v>
      </c>
      <c r="D16" s="478">
        <v>7.1</v>
      </c>
      <c r="E16" s="818">
        <v>823</v>
      </c>
      <c r="F16" s="478">
        <v>6.7</v>
      </c>
      <c r="G16" s="478">
        <v>8.9914945321992725</v>
      </c>
      <c r="H16" s="506"/>
      <c r="I16" s="818">
        <v>2591</v>
      </c>
      <c r="J16" s="478">
        <v>5.5</v>
      </c>
      <c r="K16" s="818">
        <v>2435</v>
      </c>
      <c r="L16" s="478">
        <v>5.6</v>
      </c>
      <c r="M16" s="478">
        <v>6.4065708418891143</v>
      </c>
    </row>
    <row r="17" spans="1:14" s="335" customFormat="1" ht="13" customHeight="1" thickBot="1">
      <c r="A17" s="518" t="s">
        <v>18</v>
      </c>
      <c r="B17" s="471"/>
      <c r="C17" s="812">
        <v>247</v>
      </c>
      <c r="D17" s="404"/>
      <c r="E17" s="812">
        <v>100</v>
      </c>
      <c r="F17" s="644"/>
      <c r="G17" s="405">
        <v>147.00000000000003</v>
      </c>
      <c r="H17" s="502"/>
      <c r="I17" s="812">
        <v>774</v>
      </c>
      <c r="J17" s="404"/>
      <c r="K17" s="812">
        <v>474</v>
      </c>
      <c r="L17" s="644"/>
      <c r="M17" s="405">
        <v>63.291139240506332</v>
      </c>
    </row>
    <row r="18" spans="1:14" ht="11.15" customHeight="1">
      <c r="A18" s="519"/>
      <c r="B18" s="260"/>
      <c r="C18" s="484" t="e">
        <v>#REF!</v>
      </c>
      <c r="D18" s="485"/>
      <c r="E18" s="484"/>
      <c r="F18" s="486"/>
      <c r="G18" s="487"/>
      <c r="H18" s="779"/>
      <c r="I18" s="488"/>
      <c r="J18" s="488"/>
      <c r="K18" s="480"/>
      <c r="L18" s="481"/>
      <c r="M18" s="481"/>
    </row>
    <row r="19" spans="1:14" s="324" customFormat="1" ht="15" customHeight="1">
      <c r="A19" s="385" t="s">
        <v>228</v>
      </c>
      <c r="B19" s="260"/>
      <c r="C19" s="489"/>
      <c r="D19" s="489"/>
      <c r="E19" s="490"/>
      <c r="F19" s="491"/>
      <c r="G19" s="491"/>
      <c r="H19" s="507"/>
      <c r="I19" s="492"/>
      <c r="J19" s="489"/>
      <c r="K19" s="491"/>
      <c r="L19" s="491"/>
      <c r="M19" s="491"/>
    </row>
    <row r="20" spans="1:14" ht="13" customHeight="1">
      <c r="A20" s="520" t="s">
        <v>37</v>
      </c>
      <c r="B20" s="338"/>
      <c r="C20" s="871"/>
      <c r="D20" s="872"/>
      <c r="E20" s="871"/>
      <c r="F20" s="827"/>
      <c r="G20" s="873"/>
      <c r="H20" s="495"/>
      <c r="I20" s="497">
        <v>2225</v>
      </c>
      <c r="J20" s="493"/>
      <c r="K20" s="497">
        <v>2120</v>
      </c>
      <c r="L20" s="494"/>
      <c r="M20" s="498">
        <v>4.952830188679247</v>
      </c>
    </row>
    <row r="21" spans="1:14" ht="13" customHeight="1">
      <c r="A21" s="521" t="s">
        <v>220</v>
      </c>
      <c r="B21" s="339"/>
      <c r="C21" s="499">
        <v>520</v>
      </c>
      <c r="D21" s="500"/>
      <c r="E21" s="499">
        <v>458</v>
      </c>
      <c r="F21" s="500"/>
      <c r="G21" s="501">
        <v>13.537117903930129</v>
      </c>
      <c r="H21" s="502"/>
      <c r="I21" s="499">
        <v>1208</v>
      </c>
      <c r="J21" s="500"/>
      <c r="K21" s="499">
        <v>1132</v>
      </c>
      <c r="L21" s="500"/>
      <c r="M21" s="504">
        <v>6.7137809187279185</v>
      </c>
    </row>
    <row r="22" spans="1:14" ht="13" customHeight="1">
      <c r="A22" s="523" t="s">
        <v>167</v>
      </c>
      <c r="B22" s="339"/>
      <c r="C22" s="497">
        <v>47</v>
      </c>
      <c r="D22" s="505"/>
      <c r="E22" s="497">
        <v>19</v>
      </c>
      <c r="F22" s="505"/>
      <c r="G22" s="478">
        <v>147.36842105263159</v>
      </c>
      <c r="H22" s="502"/>
      <c r="I22" s="646"/>
      <c r="J22" s="500"/>
      <c r="K22" s="646"/>
      <c r="L22" s="500"/>
      <c r="M22" s="504"/>
    </row>
    <row r="23" spans="1:14" ht="13" customHeight="1">
      <c r="A23" s="525" t="s">
        <v>168</v>
      </c>
      <c r="B23" s="339"/>
      <c r="C23" s="826">
        <v>105</v>
      </c>
      <c r="D23" s="500"/>
      <c r="E23" s="826">
        <v>220</v>
      </c>
      <c r="F23" s="500"/>
      <c r="G23" s="506">
        <v>-52.272727272727273</v>
      </c>
      <c r="H23" s="502"/>
      <c r="I23" s="646"/>
      <c r="J23" s="500"/>
      <c r="K23" s="646"/>
      <c r="L23" s="500"/>
      <c r="M23" s="504"/>
    </row>
    <row r="24" spans="1:14" ht="13" hidden="1" customHeight="1">
      <c r="A24" s="523" t="s">
        <v>166</v>
      </c>
      <c r="B24" s="339"/>
      <c r="C24" s="497">
        <v>77</v>
      </c>
      <c r="D24" s="505"/>
      <c r="E24" s="497">
        <v>1218</v>
      </c>
      <c r="F24" s="505"/>
      <c r="G24" s="478">
        <v>-93.678160919540232</v>
      </c>
      <c r="H24" s="502"/>
      <c r="I24" s="587"/>
      <c r="J24" s="503"/>
      <c r="K24" s="587"/>
      <c r="L24" s="503"/>
      <c r="M24" s="495"/>
    </row>
    <row r="25" spans="1:14" ht="13" customHeight="1">
      <c r="A25" s="521"/>
      <c r="B25" s="334"/>
      <c r="C25" s="802"/>
      <c r="D25" s="507"/>
      <c r="E25" s="802"/>
      <c r="F25" s="507"/>
      <c r="G25" s="506"/>
      <c r="H25" s="506"/>
      <c r="I25" s="587"/>
      <c r="J25" s="507"/>
      <c r="K25" s="587"/>
      <c r="L25" s="507"/>
      <c r="M25" s="506"/>
      <c r="N25" s="333"/>
    </row>
    <row r="26" spans="1:14" ht="13" customHeight="1">
      <c r="A26" s="522" t="s">
        <v>221</v>
      </c>
      <c r="B26" s="334"/>
      <c r="C26" s="827"/>
      <c r="D26" s="496"/>
      <c r="E26" s="827"/>
      <c r="F26" s="496"/>
      <c r="G26" s="502"/>
      <c r="H26" s="502"/>
      <c r="I26" s="502"/>
      <c r="J26" s="496"/>
      <c r="K26" s="502"/>
      <c r="L26" s="496"/>
      <c r="M26" s="502"/>
    </row>
    <row r="27" spans="1:14" s="324" customFormat="1" ht="13" customHeight="1" thickBot="1">
      <c r="A27" s="524" t="s">
        <v>38</v>
      </c>
      <c r="B27" s="472"/>
      <c r="C27" s="851">
        <v>1575.5264723999653</v>
      </c>
      <c r="D27" s="852"/>
      <c r="E27" s="851">
        <v>1550.0983507506403</v>
      </c>
      <c r="F27" s="852"/>
      <c r="G27" s="853">
        <v>1.640419889293554</v>
      </c>
      <c r="H27" s="502"/>
      <c r="I27" s="851">
        <v>1557.0300561265462</v>
      </c>
      <c r="J27" s="852"/>
      <c r="K27" s="851">
        <v>1459.7914425509064</v>
      </c>
      <c r="L27" s="852"/>
      <c r="M27" s="853">
        <v>6.6611305383267982</v>
      </c>
    </row>
    <row r="28" spans="1:14" s="464" customFormat="1" ht="11.15" customHeight="1">
      <c r="A28" s="461"/>
      <c r="B28" s="461"/>
      <c r="C28" s="462"/>
      <c r="D28" s="462"/>
      <c r="E28" s="462"/>
      <c r="F28" s="462"/>
      <c r="G28" s="461"/>
      <c r="H28" s="780"/>
      <c r="I28" s="463"/>
      <c r="J28" s="463"/>
      <c r="K28" s="463"/>
      <c r="L28" s="463"/>
      <c r="M28" s="463"/>
    </row>
    <row r="29" spans="1:14" s="464" customFormat="1" ht="11.15" customHeight="1">
      <c r="A29" s="461"/>
      <c r="B29" s="461"/>
      <c r="C29" s="462"/>
      <c r="D29" s="462"/>
      <c r="E29" s="462"/>
      <c r="F29" s="462"/>
      <c r="G29" s="461"/>
      <c r="H29" s="780"/>
      <c r="I29" s="463"/>
      <c r="J29" s="463"/>
      <c r="K29" s="463"/>
      <c r="L29" s="463"/>
      <c r="M29" s="463"/>
    </row>
    <row r="30" spans="1:14" s="324" customFormat="1" ht="11.15" customHeight="1">
      <c r="A30" s="928" t="s">
        <v>247</v>
      </c>
      <c r="B30" s="928"/>
      <c r="C30" s="928"/>
      <c r="D30" s="928"/>
      <c r="E30" s="928"/>
      <c r="F30" s="928"/>
      <c r="G30" s="928"/>
      <c r="H30" s="781"/>
      <c r="I30" s="473"/>
      <c r="J30" s="473"/>
      <c r="K30" s="473"/>
      <c r="L30" s="473"/>
      <c r="M30" s="473"/>
      <c r="N30" s="474"/>
    </row>
    <row r="31" spans="1:14" s="324" customFormat="1">
      <c r="A31" s="928" t="s">
        <v>234</v>
      </c>
      <c r="B31" s="928"/>
      <c r="C31" s="928"/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474"/>
    </row>
    <row r="32" spans="1:14" s="324" customFormat="1">
      <c r="A32" s="927"/>
      <c r="B32" s="927"/>
      <c r="C32" s="927"/>
      <c r="D32" s="927"/>
      <c r="E32" s="927"/>
      <c r="F32" s="927"/>
      <c r="G32" s="927"/>
      <c r="H32" s="927"/>
      <c r="I32" s="927"/>
      <c r="J32" s="927"/>
      <c r="K32" s="927"/>
      <c r="L32" s="927"/>
      <c r="M32" s="927"/>
    </row>
    <row r="33" spans="8:8" s="324" customFormat="1">
      <c r="H33" s="334"/>
    </row>
  </sheetData>
  <mergeCells count="8">
    <mergeCell ref="A32:M32"/>
    <mergeCell ref="A31:M31"/>
    <mergeCell ref="A1:M1"/>
    <mergeCell ref="A2:M2"/>
    <mergeCell ref="A3:M3"/>
    <mergeCell ref="A30:G30"/>
    <mergeCell ref="C5:G5"/>
    <mergeCell ref="I5:M5"/>
  </mergeCells>
  <pageMargins left="0.19685039370078741" right="0.31496062992125984" top="0.78740157480314965" bottom="0.23622047244094491" header="0" footer="0"/>
  <pageSetup scale="7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0"/>
  <sheetViews>
    <sheetView showGridLines="0" tabSelected="1" topLeftCell="A13" zoomScaleNormal="100" zoomScaleSheetLayoutView="140" workbookViewId="0">
      <selection sqref="A1:M34"/>
    </sheetView>
  </sheetViews>
  <sheetFormatPr defaultColWidth="9.81640625" defaultRowHeight="10.5"/>
  <cols>
    <col min="1" max="1" width="42.7265625" style="452" customWidth="1"/>
    <col min="2" max="2" width="1.7265625" style="346" customWidth="1"/>
    <col min="3" max="5" width="7.7265625" style="391" customWidth="1"/>
    <col min="6" max="7" width="7.7265625" style="443" customWidth="1"/>
    <col min="8" max="8" width="4.54296875" style="355" customWidth="1"/>
    <col min="9" max="13" width="7.7265625" style="391" customWidth="1"/>
    <col min="14" max="16384" width="9.81640625" style="343"/>
  </cols>
  <sheetData>
    <row r="1" spans="1:13" ht="11.15" customHeight="1">
      <c r="A1" s="911" t="s">
        <v>226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</row>
    <row r="2" spans="1:13" ht="11.15" customHeight="1">
      <c r="A2" s="912" t="s">
        <v>22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</row>
    <row r="3" spans="1:13" ht="11.15" customHeight="1">
      <c r="A3" s="913" t="s">
        <v>2</v>
      </c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</row>
    <row r="4" spans="1:13" ht="11.15" customHeight="1">
      <c r="A4" s="448"/>
      <c r="B4" s="326"/>
      <c r="C4" s="438"/>
      <c r="D4" s="438"/>
      <c r="E4" s="439"/>
      <c r="F4" s="440"/>
      <c r="G4" s="440"/>
      <c r="H4" s="328"/>
      <c r="I4" s="438"/>
      <c r="J4" s="444"/>
    </row>
    <row r="5" spans="1:13" ht="15" customHeight="1">
      <c r="A5" s="449"/>
      <c r="B5" s="344"/>
      <c r="C5" s="930" t="s">
        <v>240</v>
      </c>
      <c r="D5" s="930"/>
      <c r="E5" s="930"/>
      <c r="F5" s="930"/>
      <c r="G5" s="930"/>
      <c r="H5" s="345"/>
      <c r="I5" s="930" t="s">
        <v>118</v>
      </c>
      <c r="J5" s="930"/>
      <c r="K5" s="930"/>
      <c r="L5" s="930"/>
      <c r="M5" s="930"/>
    </row>
    <row r="6" spans="1:13" s="362" customFormat="1" ht="15" customHeight="1">
      <c r="A6" s="374"/>
      <c r="B6" s="368"/>
      <c r="C6" s="457">
        <v>2017</v>
      </c>
      <c r="D6" s="457" t="s">
        <v>4</v>
      </c>
      <c r="E6" s="457">
        <v>2016</v>
      </c>
      <c r="F6" s="457" t="s">
        <v>4</v>
      </c>
      <c r="G6" s="458" t="s">
        <v>111</v>
      </c>
      <c r="H6" s="457"/>
      <c r="I6" s="457">
        <v>2017</v>
      </c>
      <c r="J6" s="457" t="s">
        <v>4</v>
      </c>
      <c r="K6" s="457">
        <v>2016</v>
      </c>
      <c r="L6" s="457" t="s">
        <v>4</v>
      </c>
      <c r="M6" s="458" t="s">
        <v>111</v>
      </c>
    </row>
    <row r="7" spans="1:13" ht="13" customHeight="1">
      <c r="A7" s="289" t="s">
        <v>149</v>
      </c>
      <c r="B7" s="369"/>
      <c r="C7" s="394">
        <v>10177.218999999999</v>
      </c>
      <c r="D7" s="395">
        <v>100</v>
      </c>
      <c r="E7" s="394">
        <v>8053.7550000000001</v>
      </c>
      <c r="F7" s="395">
        <v>100</v>
      </c>
      <c r="G7" s="395">
        <v>26.366136044615196</v>
      </c>
      <c r="H7" s="396"/>
      <c r="I7" s="394">
        <v>38388.059000000001</v>
      </c>
      <c r="J7" s="395">
        <v>100</v>
      </c>
      <c r="K7" s="394">
        <v>28616.201000000001</v>
      </c>
      <c r="L7" s="395">
        <v>100</v>
      </c>
      <c r="M7" s="395">
        <v>34.147991901510608</v>
      </c>
    </row>
    <row r="8" spans="1:13" ht="13" customHeight="1">
      <c r="A8" s="375" t="s">
        <v>6</v>
      </c>
      <c r="B8" s="369"/>
      <c r="C8" s="805">
        <v>9358.2189999999991</v>
      </c>
      <c r="D8" s="397">
        <v>92</v>
      </c>
      <c r="E8" s="805">
        <v>7420.7550000000001</v>
      </c>
      <c r="F8" s="397">
        <v>92.1</v>
      </c>
      <c r="G8" s="397">
        <v>26.108718048230941</v>
      </c>
      <c r="H8" s="398"/>
      <c r="I8" s="805">
        <v>35621.059000000001</v>
      </c>
      <c r="J8" s="397">
        <v>92.8</v>
      </c>
      <c r="K8" s="805">
        <v>26368.201000000001</v>
      </c>
      <c r="L8" s="397">
        <v>92.1</v>
      </c>
      <c r="M8" s="397">
        <v>35.09097188693304</v>
      </c>
    </row>
    <row r="9" spans="1:13" ht="13" customHeight="1">
      <c r="A9" s="376" t="s">
        <v>7</v>
      </c>
      <c r="B9" s="369"/>
      <c r="C9" s="806">
        <v>819</v>
      </c>
      <c r="D9" s="399">
        <v>8</v>
      </c>
      <c r="E9" s="806">
        <v>633</v>
      </c>
      <c r="F9" s="399">
        <v>7.9</v>
      </c>
      <c r="G9" s="399">
        <v>29.383886255924164</v>
      </c>
      <c r="H9" s="398"/>
      <c r="I9" s="806">
        <v>2767</v>
      </c>
      <c r="J9" s="399">
        <v>7.2</v>
      </c>
      <c r="K9" s="806">
        <v>2248</v>
      </c>
      <c r="L9" s="399">
        <v>7.9</v>
      </c>
      <c r="M9" s="399">
        <v>23.087188612099641</v>
      </c>
    </row>
    <row r="10" spans="1:13" ht="13" customHeight="1">
      <c r="A10" s="377" t="s">
        <v>34</v>
      </c>
      <c r="B10" s="371"/>
      <c r="C10" s="807">
        <v>41</v>
      </c>
      <c r="D10" s="400">
        <v>0.4</v>
      </c>
      <c r="E10" s="807">
        <v>33</v>
      </c>
      <c r="F10" s="400">
        <v>0.4</v>
      </c>
      <c r="G10" s="400">
        <v>24.242424242424242</v>
      </c>
      <c r="H10" s="401"/>
      <c r="I10" s="807">
        <v>154</v>
      </c>
      <c r="J10" s="400">
        <v>0.4</v>
      </c>
      <c r="K10" s="807">
        <v>127</v>
      </c>
      <c r="L10" s="400">
        <v>0.4</v>
      </c>
      <c r="M10" s="400">
        <v>21.259842519685044</v>
      </c>
    </row>
    <row r="11" spans="1:13" ht="13" customHeight="1">
      <c r="A11" s="378" t="s">
        <v>35</v>
      </c>
      <c r="B11" s="371"/>
      <c r="C11" s="394">
        <v>665</v>
      </c>
      <c r="D11" s="395">
        <v>6.5</v>
      </c>
      <c r="E11" s="394">
        <v>524</v>
      </c>
      <c r="F11" s="395">
        <v>6.6</v>
      </c>
      <c r="G11" s="395">
        <v>26.908396946564885</v>
      </c>
      <c r="H11" s="398"/>
      <c r="I11" s="394">
        <v>2330</v>
      </c>
      <c r="J11" s="395">
        <v>6.1</v>
      </c>
      <c r="K11" s="394">
        <v>1865</v>
      </c>
      <c r="L11" s="395">
        <v>6.6</v>
      </c>
      <c r="M11" s="395">
        <v>24.932975871313666</v>
      </c>
    </row>
    <row r="12" spans="1:13" ht="13" customHeight="1">
      <c r="A12" s="375" t="s">
        <v>75</v>
      </c>
      <c r="B12" s="369"/>
      <c r="C12" s="805">
        <v>2</v>
      </c>
      <c r="D12" s="397">
        <v>0</v>
      </c>
      <c r="E12" s="805">
        <v>2</v>
      </c>
      <c r="F12" s="397">
        <v>0</v>
      </c>
      <c r="G12" s="397" t="s">
        <v>105</v>
      </c>
      <c r="H12" s="398"/>
      <c r="I12" s="805">
        <v>13</v>
      </c>
      <c r="J12" s="397">
        <v>0</v>
      </c>
      <c r="K12" s="805">
        <v>3</v>
      </c>
      <c r="L12" s="397">
        <v>0</v>
      </c>
      <c r="M12" s="397" t="s">
        <v>105</v>
      </c>
    </row>
    <row r="13" spans="1:13" s="349" customFormat="1" ht="13" customHeight="1">
      <c r="A13" s="379" t="s">
        <v>72</v>
      </c>
      <c r="B13" s="372"/>
      <c r="C13" s="817">
        <v>111</v>
      </c>
      <c r="D13" s="399">
        <v>1.1000000000000001</v>
      </c>
      <c r="E13" s="817">
        <v>74</v>
      </c>
      <c r="F13" s="399">
        <v>0.9</v>
      </c>
      <c r="G13" s="399">
        <v>50</v>
      </c>
      <c r="H13" s="396"/>
      <c r="I13" s="817">
        <v>270</v>
      </c>
      <c r="J13" s="399">
        <v>0.7</v>
      </c>
      <c r="K13" s="817">
        <v>253</v>
      </c>
      <c r="L13" s="399">
        <v>0.9</v>
      </c>
      <c r="M13" s="399">
        <v>6.7193675889328119</v>
      </c>
    </row>
    <row r="14" spans="1:13" ht="13" customHeight="1">
      <c r="A14" s="380" t="s">
        <v>17</v>
      </c>
      <c r="B14" s="370"/>
      <c r="C14" s="807">
        <v>28</v>
      </c>
      <c r="D14" s="400">
        <v>0.3</v>
      </c>
      <c r="E14" s="807">
        <v>22</v>
      </c>
      <c r="F14" s="400">
        <v>0.3</v>
      </c>
      <c r="G14" s="400">
        <v>27.27272727272727</v>
      </c>
      <c r="H14" s="402"/>
      <c r="I14" s="807">
        <v>105</v>
      </c>
      <c r="J14" s="400">
        <v>0.3</v>
      </c>
      <c r="K14" s="807">
        <v>82</v>
      </c>
      <c r="L14" s="400">
        <v>0.3</v>
      </c>
      <c r="M14" s="400">
        <v>28.04878048780488</v>
      </c>
    </row>
    <row r="15" spans="1:13" ht="13" customHeight="1">
      <c r="A15" s="381" t="s">
        <v>76</v>
      </c>
      <c r="B15" s="369"/>
      <c r="C15" s="820">
        <v>8</v>
      </c>
      <c r="D15" s="403">
        <v>0</v>
      </c>
      <c r="E15" s="820">
        <v>16</v>
      </c>
      <c r="F15" s="403">
        <v>0.1999999999999999</v>
      </c>
      <c r="G15" s="403">
        <v>-50</v>
      </c>
      <c r="H15" s="398"/>
      <c r="I15" s="820">
        <v>31</v>
      </c>
      <c r="J15" s="403">
        <v>0.10000000000000014</v>
      </c>
      <c r="K15" s="820">
        <v>27</v>
      </c>
      <c r="L15" s="403">
        <v>0.10000000000000003</v>
      </c>
      <c r="M15" s="403">
        <v>14.814814814814813</v>
      </c>
    </row>
    <row r="16" spans="1:13" ht="13" customHeight="1">
      <c r="A16" s="382" t="s">
        <v>180</v>
      </c>
      <c r="B16" s="369"/>
      <c r="C16" s="807">
        <v>147</v>
      </c>
      <c r="D16" s="400">
        <v>1.4</v>
      </c>
      <c r="E16" s="807">
        <v>112</v>
      </c>
      <c r="F16" s="400">
        <v>1.4</v>
      </c>
      <c r="G16" s="400">
        <v>31.25</v>
      </c>
      <c r="H16" s="396"/>
      <c r="I16" s="807">
        <v>406</v>
      </c>
      <c r="J16" s="400">
        <v>1.1000000000000001</v>
      </c>
      <c r="K16" s="807">
        <v>362</v>
      </c>
      <c r="L16" s="400">
        <v>1.3</v>
      </c>
      <c r="M16" s="400">
        <v>12.154696132596676</v>
      </c>
    </row>
    <row r="17" spans="1:13" s="351" customFormat="1" ht="13" customHeight="1" thickBot="1">
      <c r="A17" s="383" t="s">
        <v>18</v>
      </c>
      <c r="B17" s="373"/>
      <c r="C17" s="812">
        <v>140</v>
      </c>
      <c r="D17" s="404"/>
      <c r="E17" s="812">
        <v>118</v>
      </c>
      <c r="F17" s="644"/>
      <c r="G17" s="405">
        <v>18.644067796610166</v>
      </c>
      <c r="H17" s="406"/>
      <c r="I17" s="812">
        <v>291</v>
      </c>
      <c r="J17" s="404"/>
      <c r="K17" s="812">
        <v>299</v>
      </c>
      <c r="L17" s="644"/>
      <c r="M17" s="405">
        <v>-2.6755852842809347</v>
      </c>
    </row>
    <row r="18" spans="1:13" ht="11.15" customHeight="1">
      <c r="A18" s="384"/>
      <c r="B18" s="271"/>
      <c r="C18" s="411">
        <v>708</v>
      </c>
      <c r="D18" s="412"/>
      <c r="E18" s="411">
        <v>559</v>
      </c>
      <c r="F18" s="413"/>
      <c r="G18" s="414">
        <v>26.654740608228987</v>
      </c>
      <c r="H18" s="415"/>
      <c r="I18" s="416"/>
      <c r="J18" s="416"/>
      <c r="K18" s="408"/>
      <c r="L18" s="417"/>
      <c r="M18" s="417"/>
    </row>
    <row r="19" spans="1:13" s="346" customFormat="1" ht="15" customHeight="1">
      <c r="A19" s="575" t="s">
        <v>229</v>
      </c>
      <c r="B19" s="833"/>
      <c r="C19" s="833"/>
      <c r="D19" s="833"/>
      <c r="E19" s="834"/>
      <c r="F19" s="433"/>
      <c r="G19" s="433"/>
      <c r="H19" s="420"/>
      <c r="I19" s="421"/>
      <c r="J19" s="418"/>
      <c r="K19" s="420"/>
      <c r="L19" s="420"/>
      <c r="M19" s="420"/>
    </row>
    <row r="20" spans="1:13" ht="13" customHeight="1">
      <c r="A20" s="386" t="s">
        <v>150</v>
      </c>
      <c r="B20" s="353"/>
      <c r="C20" s="828"/>
      <c r="D20" s="828"/>
      <c r="E20" s="828"/>
      <c r="F20" s="822"/>
      <c r="G20" s="436"/>
      <c r="H20" s="423"/>
      <c r="I20" s="422">
        <v>452</v>
      </c>
      <c r="J20" s="422"/>
      <c r="K20" s="422">
        <v>382</v>
      </c>
      <c r="L20" s="424"/>
      <c r="M20" s="400">
        <v>18.324607329842934</v>
      </c>
    </row>
    <row r="21" spans="1:13" ht="13" customHeight="1">
      <c r="A21" s="387" t="s">
        <v>148</v>
      </c>
      <c r="B21" s="354"/>
      <c r="C21" s="409"/>
      <c r="D21" s="426"/>
      <c r="E21" s="409"/>
      <c r="F21" s="426"/>
      <c r="G21" s="427"/>
      <c r="H21" s="426"/>
      <c r="I21" s="409"/>
      <c r="J21" s="426"/>
      <c r="K21" s="409"/>
      <c r="L21" s="426"/>
      <c r="M21" s="396"/>
    </row>
    <row r="22" spans="1:13" ht="13" customHeight="1">
      <c r="A22" s="380" t="s">
        <v>167</v>
      </c>
      <c r="B22" s="354"/>
      <c r="C22" s="428">
        <v>55</v>
      </c>
      <c r="D22" s="429"/>
      <c r="E22" s="428">
        <v>34</v>
      </c>
      <c r="F22" s="430"/>
      <c r="G22" s="400">
        <v>61.764705882352942</v>
      </c>
      <c r="H22" s="426"/>
      <c r="I22" s="583"/>
      <c r="J22" s="426"/>
      <c r="K22" s="583"/>
      <c r="L22" s="426"/>
      <c r="M22" s="396"/>
    </row>
    <row r="23" spans="1:13" ht="13" customHeight="1">
      <c r="A23" s="387" t="s">
        <v>168</v>
      </c>
      <c r="B23" s="354"/>
      <c r="C23" s="821">
        <v>70</v>
      </c>
      <c r="D23" s="426"/>
      <c r="E23" s="828">
        <v>75</v>
      </c>
      <c r="F23" s="431"/>
      <c r="G23" s="396">
        <v>-6.6666666666666652</v>
      </c>
      <c r="H23" s="426"/>
      <c r="I23" s="426"/>
      <c r="J23" s="426"/>
      <c r="K23" s="426"/>
      <c r="L23" s="426"/>
      <c r="M23" s="426"/>
    </row>
    <row r="24" spans="1:13" ht="13" hidden="1" customHeight="1">
      <c r="A24" s="380" t="s">
        <v>166</v>
      </c>
      <c r="B24" s="354"/>
      <c r="C24" s="428">
        <v>49</v>
      </c>
      <c r="D24" s="429"/>
      <c r="E24" s="428">
        <v>75</v>
      </c>
      <c r="F24" s="430"/>
      <c r="G24" s="400">
        <v>-34.666666666666671</v>
      </c>
      <c r="H24" s="396"/>
      <c r="I24" s="649"/>
      <c r="J24" s="432"/>
      <c r="K24" s="649"/>
      <c r="L24" s="432"/>
      <c r="M24" s="423"/>
    </row>
    <row r="25" spans="1:13" ht="13" customHeight="1">
      <c r="A25" s="387"/>
      <c r="B25" s="354"/>
      <c r="C25" s="829"/>
      <c r="D25" s="650"/>
      <c r="E25" s="829"/>
      <c r="F25" s="433"/>
      <c r="G25" s="396"/>
      <c r="H25" s="396"/>
      <c r="I25" s="649"/>
      <c r="J25" s="434"/>
      <c r="K25" s="649"/>
      <c r="L25" s="434"/>
      <c r="M25" s="423"/>
    </row>
    <row r="26" spans="1:13" ht="13" customHeight="1">
      <c r="A26" s="380" t="s">
        <v>222</v>
      </c>
      <c r="B26" s="354"/>
      <c r="C26" s="428">
        <v>687.66200000000003</v>
      </c>
      <c r="D26" s="429"/>
      <c r="E26" s="428">
        <v>652.202</v>
      </c>
      <c r="F26" s="435"/>
      <c r="G26" s="400">
        <v>5.4369658480041494</v>
      </c>
      <c r="H26" s="396"/>
      <c r="I26" s="428">
        <v>2650.6280000000002</v>
      </c>
      <c r="J26" s="429"/>
      <c r="K26" s="428">
        <v>2391.7939999999999</v>
      </c>
      <c r="L26" s="435"/>
      <c r="M26" s="400">
        <v>10.821751371564625</v>
      </c>
    </row>
    <row r="27" spans="1:13" ht="13" customHeight="1">
      <c r="A27" s="387"/>
      <c r="B27" s="354"/>
      <c r="C27" s="409"/>
      <c r="D27" s="433"/>
      <c r="E27" s="409"/>
      <c r="F27" s="433"/>
      <c r="G27" s="396"/>
      <c r="H27" s="396"/>
      <c r="I27" s="649"/>
      <c r="J27" s="434"/>
      <c r="K27" s="649"/>
      <c r="L27" s="434"/>
      <c r="M27" s="423"/>
    </row>
    <row r="28" spans="1:13" ht="13" customHeight="1">
      <c r="A28" s="388" t="s">
        <v>223</v>
      </c>
      <c r="B28" s="353"/>
      <c r="C28" s="822"/>
      <c r="D28" s="433"/>
      <c r="E28" s="822"/>
      <c r="F28" s="433"/>
      <c r="G28" s="406"/>
      <c r="H28" s="406"/>
      <c r="I28" s="406"/>
      <c r="J28" s="433"/>
      <c r="K28" s="406"/>
      <c r="L28" s="433"/>
      <c r="M28" s="406"/>
    </row>
    <row r="29" spans="1:13" ht="13" customHeight="1">
      <c r="A29" s="377" t="s">
        <v>38</v>
      </c>
      <c r="B29" s="353"/>
      <c r="C29" s="425">
        <v>8542.122838944495</v>
      </c>
      <c r="D29" s="651"/>
      <c r="E29" s="425">
        <v>7322.5097225706095</v>
      </c>
      <c r="F29" s="435"/>
      <c r="G29" s="400">
        <v>16.655670836661351</v>
      </c>
      <c r="H29" s="396"/>
      <c r="I29" s="425">
        <v>8465.1942327819397</v>
      </c>
      <c r="J29" s="651"/>
      <c r="K29" s="425">
        <v>7067.2192035319658</v>
      </c>
      <c r="L29" s="435"/>
      <c r="M29" s="400">
        <v>19.781118838811619</v>
      </c>
    </row>
    <row r="30" spans="1:13" ht="13" customHeight="1">
      <c r="A30" s="389" t="s">
        <v>173</v>
      </c>
      <c r="C30" s="436">
        <v>576.98726114649685</v>
      </c>
      <c r="D30" s="650"/>
      <c r="E30" s="436">
        <v>592.9799818016379</v>
      </c>
      <c r="F30" s="433"/>
      <c r="G30" s="396">
        <v>-2.6970085240568764</v>
      </c>
      <c r="H30" s="398"/>
      <c r="I30" s="436">
        <v>584.18700592885375</v>
      </c>
      <c r="J30" s="650"/>
      <c r="K30" s="436">
        <v>590.72234136857696</v>
      </c>
      <c r="L30" s="433"/>
      <c r="M30" s="396">
        <v>-1.1063294854537276</v>
      </c>
    </row>
    <row r="31" spans="1:13" ht="13" customHeight="1" thickBot="1">
      <c r="A31" s="390" t="s">
        <v>151</v>
      </c>
      <c r="B31" s="366"/>
      <c r="C31" s="819">
        <v>14.804699192094734</v>
      </c>
      <c r="D31" s="652"/>
      <c r="E31" s="819">
        <v>12.348662597888703</v>
      </c>
      <c r="F31" s="437"/>
      <c r="G31" s="410">
        <v>19.889089808202787</v>
      </c>
      <c r="H31" s="398"/>
      <c r="I31" s="819">
        <v>14.49055550169647</v>
      </c>
      <c r="J31" s="652"/>
      <c r="K31" s="819">
        <v>11.963690398366744</v>
      </c>
      <c r="L31" s="437"/>
      <c r="M31" s="410">
        <v>21.121117474543549</v>
      </c>
    </row>
    <row r="32" spans="1:13" s="346" customFormat="1">
      <c r="A32" s="931"/>
      <c r="B32" s="931"/>
      <c r="C32" s="931"/>
      <c r="D32" s="931"/>
      <c r="E32" s="931"/>
      <c r="F32" s="931"/>
      <c r="G32" s="931"/>
      <c r="H32" s="931"/>
      <c r="I32" s="931"/>
      <c r="J32" s="931"/>
      <c r="K32" s="931"/>
      <c r="L32" s="931"/>
      <c r="M32" s="931"/>
    </row>
    <row r="33" spans="1:13" s="346" customFormat="1" ht="11.15" customHeight="1">
      <c r="A33" s="450"/>
      <c r="B33" s="392"/>
      <c r="C33" s="441"/>
      <c r="D33" s="441"/>
      <c r="E33" s="441"/>
      <c r="F33" s="441"/>
      <c r="G33" s="441"/>
      <c r="H33" s="392"/>
      <c r="I33" s="441"/>
      <c r="J33" s="441"/>
      <c r="K33" s="441"/>
      <c r="L33" s="441"/>
      <c r="M33" s="441"/>
    </row>
    <row r="34" spans="1:13" s="346" customFormat="1" ht="11.15" customHeight="1">
      <c r="A34" s="926" t="s">
        <v>224</v>
      </c>
      <c r="B34" s="926"/>
      <c r="C34" s="926"/>
      <c r="D34" s="926"/>
      <c r="E34" s="926"/>
      <c r="F34" s="926"/>
      <c r="G34" s="926"/>
      <c r="H34" s="393"/>
      <c r="I34" s="446"/>
      <c r="J34" s="446"/>
      <c r="K34" s="446"/>
      <c r="L34" s="446"/>
      <c r="M34" s="446"/>
    </row>
    <row r="35" spans="1:13" s="346" customFormat="1" ht="11.15" customHeight="1">
      <c r="H35" s="393"/>
      <c r="I35" s="446"/>
      <c r="J35" s="446"/>
      <c r="K35" s="446"/>
      <c r="L35" s="446"/>
      <c r="M35" s="446"/>
    </row>
    <row r="36" spans="1:13" ht="16.5" customHeight="1">
      <c r="A36" s="356"/>
      <c r="B36" s="356"/>
      <c r="C36" s="442"/>
      <c r="D36" s="442"/>
      <c r="E36" s="442"/>
      <c r="F36" s="442"/>
      <c r="G36" s="442"/>
      <c r="H36" s="356"/>
      <c r="I36" s="442"/>
      <c r="J36" s="442"/>
      <c r="K36" s="442"/>
      <c r="L36" s="442"/>
      <c r="M36" s="442"/>
    </row>
    <row r="37" spans="1:13">
      <c r="A37" s="356"/>
      <c r="B37" s="356"/>
      <c r="C37" s="442"/>
      <c r="D37" s="442"/>
      <c r="E37" s="442"/>
      <c r="F37" s="442"/>
      <c r="G37" s="442"/>
      <c r="H37" s="356"/>
      <c r="I37" s="447"/>
      <c r="J37" s="443"/>
      <c r="K37" s="447"/>
      <c r="L37" s="445"/>
      <c r="M37" s="447"/>
    </row>
    <row r="38" spans="1:13">
      <c r="A38" s="357"/>
      <c r="B38" s="343"/>
      <c r="F38" s="391"/>
      <c r="G38" s="391"/>
      <c r="H38" s="343"/>
    </row>
    <row r="39" spans="1:13" ht="20.25" customHeight="1">
      <c r="A39" s="357"/>
    </row>
    <row r="40" spans="1:13">
      <c r="A40" s="451"/>
    </row>
  </sheetData>
  <mergeCells count="7">
    <mergeCell ref="A34:G34"/>
    <mergeCell ref="C5:G5"/>
    <mergeCell ref="I5:M5"/>
    <mergeCell ref="A1:M1"/>
    <mergeCell ref="A2:M2"/>
    <mergeCell ref="A3:M3"/>
    <mergeCell ref="A32:M32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7897" r:id="rId4">
          <objectPr defaultSize="0" autoPict="0" r:id="rId5">
            <anchor moveWithCells="1" sizeWithCells="1">
              <from>
                <xdr:col>4</xdr:col>
                <xdr:colOff>0</xdr:colOff>
                <xdr:row>35</xdr:row>
                <xdr:rowOff>0</xdr:rowOff>
              </from>
              <to>
                <xdr:col>4</xdr:col>
                <xdr:colOff>0</xdr:colOff>
                <xdr:row>35</xdr:row>
                <xdr:rowOff>50800</xdr:rowOff>
              </to>
            </anchor>
          </objectPr>
        </oleObject>
      </mc:Choice>
      <mc:Fallback>
        <oleObject progId="Word.Picture.8" shapeId="3789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view="pageBreakPreview" zoomScale="70" zoomScaleNormal="100" zoomScaleSheetLayoutView="70" workbookViewId="0">
      <selection activeCell="Y50" sqref="Y50"/>
    </sheetView>
  </sheetViews>
  <sheetFormatPr defaultColWidth="9.81640625" defaultRowHeight="15.5"/>
  <cols>
    <col min="1" max="1" width="51.453125" style="2" customWidth="1"/>
    <col min="2" max="2" width="3.81640625" style="6" customWidth="1"/>
    <col min="3" max="4" width="11.7265625" style="2" customWidth="1"/>
    <col min="5" max="5" width="13.1796875" style="2" bestFit="1" customWidth="1"/>
    <col min="6" max="7" width="11.7265625" style="6" customWidth="1"/>
    <col min="8" max="8" width="9.26953125" style="223" hidden="1" customWidth="1"/>
    <col min="9" max="9" width="9.26953125" style="223" customWidth="1"/>
    <col min="10" max="10" width="4.54296875" style="2" customWidth="1"/>
    <col min="11" max="15" width="11.7265625" style="2" customWidth="1"/>
    <col min="16" max="16" width="10.81640625" style="2" customWidth="1"/>
    <col min="17" max="16384" width="9.81640625" style="2"/>
  </cols>
  <sheetData>
    <row r="1" spans="1:18" ht="39" customHeight="1">
      <c r="A1" s="933" t="s">
        <v>140</v>
      </c>
      <c r="B1" s="933"/>
      <c r="C1" s="933"/>
      <c r="D1" s="933"/>
      <c r="E1" s="933"/>
      <c r="F1" s="933"/>
      <c r="G1" s="933"/>
      <c r="H1" s="933"/>
      <c r="I1" s="933"/>
      <c r="J1" s="933"/>
      <c r="K1" s="244"/>
      <c r="L1" s="244"/>
      <c r="M1" s="244"/>
      <c r="N1" s="244"/>
      <c r="O1" s="244"/>
      <c r="P1" s="244"/>
      <c r="Q1" s="244"/>
    </row>
    <row r="2" spans="1:18" ht="15" customHeight="1">
      <c r="A2" s="918" t="s">
        <v>22</v>
      </c>
      <c r="B2" s="918"/>
      <c r="C2" s="918"/>
      <c r="D2" s="918"/>
      <c r="E2" s="918"/>
      <c r="F2" s="918"/>
      <c r="G2" s="918"/>
      <c r="H2" s="918"/>
      <c r="I2" s="918"/>
      <c r="J2" s="918"/>
      <c r="K2" s="230"/>
      <c r="L2" s="230"/>
      <c r="M2" s="230"/>
      <c r="N2" s="230"/>
      <c r="O2" s="230"/>
      <c r="P2" s="230"/>
      <c r="Q2" s="230"/>
    </row>
    <row r="3" spans="1:18" ht="15" customHeight="1">
      <c r="A3" s="934" t="s">
        <v>2</v>
      </c>
      <c r="B3" s="934"/>
      <c r="C3" s="934"/>
      <c r="D3" s="934"/>
      <c r="E3" s="934"/>
      <c r="F3" s="934"/>
      <c r="G3" s="934"/>
      <c r="H3" s="934"/>
      <c r="I3" s="934"/>
      <c r="J3" s="934"/>
      <c r="K3" s="240"/>
      <c r="L3" s="240"/>
      <c r="M3" s="240"/>
      <c r="N3" s="240"/>
      <c r="O3" s="240"/>
      <c r="P3" s="240"/>
      <c r="Q3" s="240"/>
    </row>
    <row r="4" spans="1:18" ht="18">
      <c r="A4" s="919"/>
      <c r="B4" s="919"/>
      <c r="C4" s="919"/>
      <c r="D4" s="919"/>
      <c r="E4" s="919"/>
      <c r="F4" s="919"/>
      <c r="G4" s="919"/>
      <c r="H4" s="919"/>
      <c r="I4" s="919"/>
      <c r="J4" s="919"/>
      <c r="K4" s="4"/>
      <c r="L4" s="4"/>
      <c r="M4" s="4"/>
      <c r="N4" s="4"/>
      <c r="O4" s="6"/>
    </row>
    <row r="5" spans="1:18">
      <c r="A5" s="7"/>
      <c r="B5" s="8"/>
      <c r="C5" s="7"/>
      <c r="D5" s="7"/>
      <c r="E5" s="231"/>
      <c r="F5" s="8"/>
      <c r="G5" s="8"/>
      <c r="H5" s="192"/>
      <c r="I5" s="192"/>
      <c r="J5" s="7"/>
      <c r="K5" s="7"/>
      <c r="L5" s="10"/>
    </row>
    <row r="6" spans="1:18">
      <c r="A6" s="11"/>
      <c r="B6" s="11"/>
      <c r="C6" s="932" t="str">
        <f>+'Consolidado Resultados'!C5:H5</f>
        <v>Por el cuarto trimestre de:</v>
      </c>
      <c r="D6" s="932"/>
      <c r="E6" s="932"/>
      <c r="F6" s="932"/>
      <c r="G6" s="932"/>
      <c r="H6" s="235"/>
      <c r="I6" s="235"/>
      <c r="J6" s="236"/>
      <c r="K6" s="932" t="s">
        <v>118</v>
      </c>
      <c r="L6" s="932"/>
      <c r="M6" s="932"/>
      <c r="N6" s="932"/>
      <c r="O6" s="932"/>
      <c r="P6" s="206"/>
    </row>
    <row r="7" spans="1:18">
      <c r="A7" s="14"/>
      <c r="B7" s="15"/>
      <c r="C7" s="90">
        <f>+'Consolidado Resultados'!C6</f>
        <v>2017</v>
      </c>
      <c r="D7" s="17" t="s">
        <v>4</v>
      </c>
      <c r="E7" s="90">
        <f>+'Consolidado Resultados'!E6</f>
        <v>2016</v>
      </c>
      <c r="F7" s="17" t="s">
        <v>4</v>
      </c>
      <c r="G7" s="80" t="s">
        <v>111</v>
      </c>
      <c r="H7" s="17" t="s">
        <v>133</v>
      </c>
      <c r="I7" s="183"/>
      <c r="J7" s="236"/>
      <c r="K7" s="90">
        <v>2015</v>
      </c>
      <c r="L7" s="17" t="s">
        <v>4</v>
      </c>
      <c r="M7" s="90">
        <v>2014</v>
      </c>
      <c r="N7" s="17" t="s">
        <v>4</v>
      </c>
      <c r="O7" s="17" t="s">
        <v>111</v>
      </c>
      <c r="P7" s="17" t="s">
        <v>141</v>
      </c>
      <c r="Q7" s="20"/>
      <c r="R7" s="20"/>
    </row>
    <row r="8" spans="1:18">
      <c r="A8" s="25" t="s">
        <v>5</v>
      </c>
      <c r="B8" s="25"/>
      <c r="C8" s="42">
        <v>0</v>
      </c>
      <c r="D8" s="32" t="e">
        <f>((+C8/C$8)*100)</f>
        <v>#DIV/0!</v>
      </c>
      <c r="E8" s="42">
        <v>0</v>
      </c>
      <c r="F8" s="32" t="e">
        <f>((+E8/E$8)*100)</f>
        <v>#DIV/0!</v>
      </c>
      <c r="G8" s="33" t="e">
        <f t="shared" ref="G8:G16" si="0">IF((((C8/E8)-1)*100)&gt;=100,"N.A.",(IF((((C8/E8)-1)*100)&lt;=-100,"N.A.",(((C8/E8)-1)*100))))</f>
        <v>#DIV/0!</v>
      </c>
      <c r="H8" s="217">
        <v>13.021709519474634</v>
      </c>
      <c r="I8" s="217"/>
      <c r="J8" s="31"/>
      <c r="K8" s="42">
        <v>123811.02099999999</v>
      </c>
      <c r="L8" s="32">
        <f>((+K8/K$8)*100)</f>
        <v>100</v>
      </c>
      <c r="M8" s="42">
        <v>108530.341</v>
      </c>
      <c r="N8" s="32">
        <f>((+M8/M$8)*100)</f>
        <v>100</v>
      </c>
      <c r="O8" s="33">
        <f t="shared" ref="O8:O17" si="1">IF((((K8/M8)-1)*100)&gt;=100,"N.A.",(IF((((K8/M8)-1)*100)&lt;=-100,"N.A.",(((K8/M8)-1)*100))))</f>
        <v>14.079638798886652</v>
      </c>
      <c r="P8" s="217">
        <v>14.079619449458836</v>
      </c>
    </row>
    <row r="9" spans="1:18">
      <c r="A9" s="34" t="s">
        <v>6</v>
      </c>
      <c r="B9" s="25"/>
      <c r="C9" s="42">
        <f>+C8-C10</f>
        <v>0</v>
      </c>
      <c r="D9" s="35" t="e">
        <f>D8-D10</f>
        <v>#DIV/0!</v>
      </c>
      <c r="E9" s="42">
        <f>+E8-E10</f>
        <v>0</v>
      </c>
      <c r="F9" s="35" t="e">
        <f>F8-F10</f>
        <v>#DIV/0!</v>
      </c>
      <c r="G9" s="36" t="e">
        <f t="shared" si="0"/>
        <v>#DIV/0!</v>
      </c>
      <c r="H9" s="217"/>
      <c r="I9" s="217"/>
      <c r="J9" s="31"/>
      <c r="K9" s="42">
        <f>+K8-K10</f>
        <v>79359.992999999988</v>
      </c>
      <c r="L9" s="35">
        <f>L8-L10</f>
        <v>64.099999999999994</v>
      </c>
      <c r="M9" s="42">
        <f>+M8-M10</f>
        <v>70239.218999999997</v>
      </c>
      <c r="N9" s="35">
        <f>N8-N10</f>
        <v>64.7</v>
      </c>
      <c r="O9" s="36">
        <f t="shared" si="1"/>
        <v>12.98530098975046</v>
      </c>
      <c r="P9" s="217"/>
    </row>
    <row r="10" spans="1:18">
      <c r="A10" s="34" t="s">
        <v>7</v>
      </c>
      <c r="B10" s="25"/>
      <c r="C10" s="237">
        <v>0</v>
      </c>
      <c r="D10" s="35" t="e">
        <f>ROUND(((+C10/C$8)*100),1)</f>
        <v>#DIV/0!</v>
      </c>
      <c r="E10" s="237">
        <v>0</v>
      </c>
      <c r="F10" s="35" t="e">
        <f>ROUND(((+E10/E$8)*100),1)</f>
        <v>#DIV/0!</v>
      </c>
      <c r="G10" s="36" t="e">
        <f t="shared" si="0"/>
        <v>#DIV/0!</v>
      </c>
      <c r="H10" s="233"/>
      <c r="I10" s="88"/>
      <c r="J10" s="31"/>
      <c r="K10" s="237">
        <v>44451.027999999998</v>
      </c>
      <c r="L10" s="35">
        <f>ROUND(((+K10/K$8)*100),1)</f>
        <v>35.9</v>
      </c>
      <c r="M10" s="237">
        <v>38291.122000000003</v>
      </c>
      <c r="N10" s="35">
        <f>ROUND(((+M10/M$8)*100),1)</f>
        <v>35.299999999999997</v>
      </c>
      <c r="O10" s="36">
        <f t="shared" si="1"/>
        <v>16.087034482823448</v>
      </c>
      <c r="P10" s="123"/>
    </row>
    <row r="11" spans="1:18">
      <c r="A11" s="44" t="s">
        <v>34</v>
      </c>
      <c r="B11" s="21"/>
      <c r="C11" s="42">
        <v>0</v>
      </c>
      <c r="D11" s="32" t="e">
        <f>ROUND(((+C11/C$8)*100),1)</f>
        <v>#DIV/0!</v>
      </c>
      <c r="E11" s="42">
        <v>0</v>
      </c>
      <c r="F11" s="32" t="e">
        <f>ROUND(((+E11/E$8)*100),1)</f>
        <v>#DIV/0!</v>
      </c>
      <c r="G11" s="33" t="e">
        <f t="shared" si="0"/>
        <v>#DIV/0!</v>
      </c>
      <c r="H11" s="226" t="e">
        <f>D10-F10</f>
        <v>#DIV/0!</v>
      </c>
      <c r="I11" s="226"/>
      <c r="J11" s="159"/>
      <c r="K11" s="42">
        <v>2551.84</v>
      </c>
      <c r="L11" s="32">
        <f>ROUND(((+K11/K$8)*100),1)</f>
        <v>2.1</v>
      </c>
      <c r="M11" s="42">
        <v>2021.078</v>
      </c>
      <c r="N11" s="32">
        <f>ROUND(((+M11/M$8)*100),1)</f>
        <v>1.9</v>
      </c>
      <c r="O11" s="33">
        <f t="shared" si="1"/>
        <v>26.261331823907842</v>
      </c>
      <c r="P11" s="226"/>
    </row>
    <row r="12" spans="1:18">
      <c r="A12" s="44" t="s">
        <v>35</v>
      </c>
      <c r="B12" s="21"/>
      <c r="C12" s="42">
        <f>+C10-C11-C13-C14</f>
        <v>0</v>
      </c>
      <c r="D12" s="32" t="e">
        <f>+D10-D11-D14-D13</f>
        <v>#DIV/0!</v>
      </c>
      <c r="E12" s="42">
        <f>+E10-E11-E13-E14</f>
        <v>0</v>
      </c>
      <c r="F12" s="32" t="e">
        <f>+F10-F11-F14-F13</f>
        <v>#DIV/0!</v>
      </c>
      <c r="G12" s="33" t="e">
        <f t="shared" si="0"/>
        <v>#DIV/0!</v>
      </c>
      <c r="H12" s="227" t="e">
        <f>(((C12+C11+C13)/(E11+E12+E13))-1)*100</f>
        <v>#DIV/0!</v>
      </c>
      <c r="I12" s="227"/>
      <c r="J12" s="31"/>
      <c r="K12" s="42">
        <v>31305.566999999999</v>
      </c>
      <c r="L12" s="32">
        <f>+L10-L11-L14-L13</f>
        <v>25.2</v>
      </c>
      <c r="M12" s="42">
        <f>+M10-M11-M13-M14</f>
        <v>27639.637999999999</v>
      </c>
      <c r="N12" s="32">
        <f>+N10-N11-N14-N13</f>
        <v>25.4</v>
      </c>
      <c r="O12" s="33">
        <f t="shared" si="1"/>
        <v>13.26330323139544</v>
      </c>
      <c r="P12" s="227"/>
    </row>
    <row r="13" spans="1:18">
      <c r="A13" s="25" t="s">
        <v>75</v>
      </c>
      <c r="B13" s="25"/>
      <c r="C13" s="42">
        <v>0</v>
      </c>
      <c r="D13" s="88" t="e">
        <f>ROUND(((+C13/C$8)*100),1)</f>
        <v>#DIV/0!</v>
      </c>
      <c r="E13" s="116">
        <v>0</v>
      </c>
      <c r="F13" s="32" t="e">
        <f>ROUND(((+E13/E$8)*100),1)</f>
        <v>#DIV/0!</v>
      </c>
      <c r="G13" s="184" t="e">
        <f t="shared" si="0"/>
        <v>#DIV/0!</v>
      </c>
      <c r="H13" s="218"/>
      <c r="I13" s="218"/>
      <c r="J13" s="31"/>
      <c r="K13" s="42">
        <v>236.57900000000001</v>
      </c>
      <c r="L13" s="32">
        <f>ROUND(((+K13/K$8)*100),1)</f>
        <v>0.2</v>
      </c>
      <c r="M13" s="42">
        <v>171.24799999999999</v>
      </c>
      <c r="N13" s="32">
        <f>ROUND(((+M13/M$8)*100),1)</f>
        <v>0.2</v>
      </c>
      <c r="O13" s="33">
        <f t="shared" si="1"/>
        <v>38.149934597776337</v>
      </c>
      <c r="P13" s="218"/>
    </row>
    <row r="14" spans="1:18" s="76" customFormat="1">
      <c r="A14" s="124" t="s">
        <v>72</v>
      </c>
      <c r="B14" s="125"/>
      <c r="C14" s="122">
        <v>0</v>
      </c>
      <c r="D14" s="123" t="e">
        <f>ROUND(((+C14/C$8)*100),1)</f>
        <v>#DIV/0!</v>
      </c>
      <c r="E14" s="122">
        <v>0</v>
      </c>
      <c r="F14" s="123" t="e">
        <f>ROUND(((+E14/E$8)*100),1)</f>
        <v>#DIV/0!</v>
      </c>
      <c r="G14" s="174" t="e">
        <f t="shared" si="0"/>
        <v>#DIV/0!</v>
      </c>
      <c r="H14" s="219">
        <v>19.42016934381272</v>
      </c>
      <c r="I14" s="184"/>
      <c r="J14" s="115"/>
      <c r="K14" s="122">
        <v>10357.040999999999</v>
      </c>
      <c r="L14" s="123">
        <f>ROUND(((+K14/K$8)*100),1)</f>
        <v>8.4</v>
      </c>
      <c r="M14" s="122">
        <v>8459.1580000000013</v>
      </c>
      <c r="N14" s="123">
        <f>ROUND(((+M14/M$8)*100),1)</f>
        <v>7.8</v>
      </c>
      <c r="O14" s="174">
        <f t="shared" si="1"/>
        <v>22.435838176801969</v>
      </c>
      <c r="P14" s="174">
        <v>22.435353494993215</v>
      </c>
    </row>
    <row r="15" spans="1:18" ht="15.75" customHeight="1">
      <c r="A15" s="6" t="s">
        <v>17</v>
      </c>
      <c r="C15" s="42">
        <v>0</v>
      </c>
      <c r="D15" s="62" t="e">
        <f>ROUND(((+C15/C$8)*100),1)</f>
        <v>#DIV/0!</v>
      </c>
      <c r="E15" s="42">
        <v>0</v>
      </c>
      <c r="F15" s="62" t="e">
        <f>ROUND(((+E15/E$8)*100),1)</f>
        <v>#DIV/0!</v>
      </c>
      <c r="G15" s="175" t="e">
        <f t="shared" si="0"/>
        <v>#DIV/0!</v>
      </c>
      <c r="H15" s="220"/>
      <c r="I15" s="241"/>
      <c r="J15" s="115"/>
      <c r="K15" s="42">
        <v>3063.7660000000001</v>
      </c>
      <c r="L15" s="62">
        <f>ROUND(((+K15/K$8)*100),1)</f>
        <v>2.5</v>
      </c>
      <c r="M15" s="42">
        <v>2723.8690000000001</v>
      </c>
      <c r="N15" s="62">
        <f>ROUND(((+M15/M$8)*100),1)</f>
        <v>2.5</v>
      </c>
      <c r="O15" s="175">
        <f t="shared" si="1"/>
        <v>12.47846353844475</v>
      </c>
      <c r="P15" s="220"/>
    </row>
    <row r="16" spans="1:18" ht="15.75" customHeight="1">
      <c r="A16" s="64" t="s">
        <v>76</v>
      </c>
      <c r="B16" s="25"/>
      <c r="C16" s="238">
        <f>+C17-C15-C14</f>
        <v>0</v>
      </c>
      <c r="D16" s="62" t="e">
        <f>D17-D14-D15</f>
        <v>#DIV/0!</v>
      </c>
      <c r="E16" s="239">
        <f>+E17-E14-E15</f>
        <v>0</v>
      </c>
      <c r="F16" s="62" t="e">
        <f>F17-F14-F15</f>
        <v>#DIV/0!</v>
      </c>
      <c r="G16" s="224" t="e">
        <f t="shared" si="0"/>
        <v>#DIV/0!</v>
      </c>
      <c r="H16" s="221"/>
      <c r="I16" s="242"/>
      <c r="J16" s="115"/>
      <c r="K16" s="50">
        <f>+K17-K15-K14</f>
        <v>415.71600000000035</v>
      </c>
      <c r="L16" s="62">
        <f>L17-L14-L15</f>
        <v>0.29999999999999893</v>
      </c>
      <c r="M16" s="50">
        <f>+M17-M15-M14</f>
        <v>293.16099999999824</v>
      </c>
      <c r="N16" s="62">
        <f>N17-N14-N15</f>
        <v>0.29999999999999982</v>
      </c>
      <c r="O16" s="184">
        <f t="shared" si="1"/>
        <v>41.80467388227045</v>
      </c>
      <c r="P16" s="221"/>
    </row>
    <row r="17" spans="1:16" ht="15.75" customHeight="1">
      <c r="A17" s="67" t="s">
        <v>63</v>
      </c>
      <c r="B17" s="25"/>
      <c r="C17" s="42">
        <v>0</v>
      </c>
      <c r="D17" s="69" t="e">
        <f>ROUND(((+C17/C$8)*100),1)</f>
        <v>#DIV/0!</v>
      </c>
      <c r="E17" s="232">
        <v>0</v>
      </c>
      <c r="F17" s="69" t="e">
        <f>ROUND(((+E17/E$8)*100),1)</f>
        <v>#DIV/0!</v>
      </c>
      <c r="G17" s="176" t="e">
        <f>IF((((C17/E17)-1)*100)&gt;=100,"N.A.",(IF((((C17/E17)-1)*100)&lt;=-100,"N.A.",(((C17/E17)-1)*100))))-0.01</f>
        <v>#DIV/0!</v>
      </c>
      <c r="H17" s="222">
        <v>18.943610961323643</v>
      </c>
      <c r="I17" s="243"/>
      <c r="J17" s="31"/>
      <c r="K17" s="42">
        <v>13836.522999999999</v>
      </c>
      <c r="L17" s="69">
        <f>ROUND(((+K17/K$8)*100),1)</f>
        <v>11.2</v>
      </c>
      <c r="M17" s="42">
        <v>11476.188</v>
      </c>
      <c r="N17" s="69">
        <f>ROUND(((+M17/M$8)*100),1)</f>
        <v>10.6</v>
      </c>
      <c r="O17" s="176">
        <f t="shared" si="1"/>
        <v>20.567238877578497</v>
      </c>
      <c r="P17" s="176">
        <v>20.571395310010598</v>
      </c>
    </row>
    <row r="18" spans="1:16">
      <c r="E18" s="86"/>
      <c r="F18" s="234"/>
    </row>
  </sheetData>
  <mergeCells count="6">
    <mergeCell ref="A4:J4"/>
    <mergeCell ref="C6:G6"/>
    <mergeCell ref="K6:O6"/>
    <mergeCell ref="A1:J1"/>
    <mergeCell ref="A2:J2"/>
    <mergeCell ref="A3:J3"/>
  </mergeCells>
  <printOptions horizontalCentered="1"/>
  <pageMargins left="0.43307086614173229" right="0.31496062992125984" top="0.78740157480314965" bottom="0.23622047244094491" header="0" footer="0"/>
  <pageSetup scale="7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5841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1" r:id="rId4"/>
      </mc:Fallback>
    </mc:AlternateContent>
    <mc:AlternateContent xmlns:mc="http://schemas.openxmlformats.org/markup-compatibility/2006">
      <mc:Choice Requires="x14">
        <oleObject progId="Word.Picture.8" shapeId="35842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Consolidado Resultados</vt:lpstr>
      <vt:lpstr> Consolidado Balance</vt:lpstr>
      <vt:lpstr>Consolidado Resultados Ajustes</vt:lpstr>
      <vt:lpstr>Consolidado Trim Ajustes</vt:lpstr>
      <vt:lpstr>Consolidado Resultados Orgánico</vt:lpstr>
      <vt:lpstr>FEMSA Comercio-Div Comercial</vt:lpstr>
      <vt:lpstr>FEMSA Comercio-Div Salud</vt:lpstr>
      <vt:lpstr>FEMSA Comercio-Div Combustibles</vt:lpstr>
      <vt:lpstr>FEMCO Comercial Org</vt:lpstr>
      <vt:lpstr>FEMCO OXXO</vt:lpstr>
      <vt:lpstr>Coca-Cola FEMSA</vt:lpstr>
      <vt:lpstr>Otros indicadores</vt:lpstr>
      <vt:lpstr>Variaciones</vt:lpstr>
      <vt:lpstr>' Consolidado Balance'!Print_Area</vt:lpstr>
      <vt:lpstr>'Coca-Cola FEMSA'!Print_Area</vt:lpstr>
      <vt:lpstr>'Consolidado Resultados'!Print_Area</vt:lpstr>
      <vt:lpstr>'Consolidado Resultados Ajustes'!Print_Area</vt:lpstr>
      <vt:lpstr>'Consolidado Resultados Orgánico'!Print_Area</vt:lpstr>
      <vt:lpstr>'FEMCO Comercial Org'!Print_Area</vt:lpstr>
      <vt:lpstr>'FEMCO OXXO'!Print_Area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  <vt:lpstr>Variaciones!Print_Area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2018-02-24T00:01:22Z</cp:lastPrinted>
  <dcterms:created xsi:type="dcterms:W3CDTF">2011-12-21T23:50:30Z</dcterms:created>
  <dcterms:modified xsi:type="dcterms:W3CDTF">2018-02-27T03:43:37Z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