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embeddings/oleObject3.bin" ContentType="application/vnd.openxmlformats-officedocument.oleObject"/>
  <Override PartName="/xl/drawings/drawing5.xml" ContentType="application/vnd.openxmlformats-officedocument.drawing+xml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drawings/drawing7.xml" ContentType="application/vnd.openxmlformats-officedocument.drawing+xml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drawings/drawing10.xml" ContentType="application/vnd.openxmlformats-officedocument.drawing+xml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drawings/drawing11.xml" ContentType="application/vnd.openxmlformats-officedocument.drawing+xml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drawings/drawing12.xml" ContentType="application/vnd.openxmlformats-officedocument.drawing+xml"/>
  <Override PartName="/xl/drawings/drawing13.xml" ContentType="application/vnd.openxmlformats-officedocument.drawing+xml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pfem01.csc.fmx\RI\Trimestres FEMSA\2017\Julio\Documentos Finales\"/>
    </mc:Choice>
  </mc:AlternateContent>
  <bookViews>
    <workbookView xWindow="0" yWindow="0" windowWidth="19200" windowHeight="6950" tabRatio="839" activeTab="1"/>
  </bookViews>
  <sheets>
    <sheet name="Consolidado Resultados" sheetId="1" r:id="rId1"/>
    <sheet name=" Consolidado Balance" sheetId="4" r:id="rId2"/>
    <sheet name="Consolidado Resultados Ajustes" sheetId="10" state="hidden" r:id="rId3"/>
    <sheet name="Consolidado Trim Ajustes" sheetId="12" state="hidden" r:id="rId4"/>
    <sheet name="Consolidado Resultados Orgánico" sheetId="14" state="hidden" r:id="rId5"/>
    <sheet name="FEMSA Comercio-Div Comercial" sheetId="20" r:id="rId6"/>
    <sheet name="FEMSA Comercio-Div Salud" sheetId="25" r:id="rId7"/>
    <sheet name="FEMSA Comercio-Div Combustibles" sheetId="24" r:id="rId8"/>
    <sheet name="FEMCO Comercial Org" sheetId="22" state="hidden" r:id="rId9"/>
    <sheet name="FEMCO OXXO" sheetId="23" state="hidden" r:id="rId10"/>
    <sheet name="Coca-Cola FEMSA" sheetId="7" r:id="rId11"/>
    <sheet name="Otros indicadores" sheetId="13" r:id="rId12"/>
    <sheet name="Variaciones" sheetId="15" state="hidden" r:id="rId13"/>
  </sheets>
  <definedNames>
    <definedName name="ebitdaprom" localSheetId="8">#REF!,#REF!,#REF!,#REF!,#REF!,#REF!</definedName>
    <definedName name="ebitdaprom" localSheetId="9">#REF!,#REF!,#REF!,#REF!,#REF!,#REF!</definedName>
    <definedName name="ebitdaprom" localSheetId="7">#REF!,#REF!,#REF!,#REF!,#REF!,#REF!</definedName>
    <definedName name="ebitdaprom" localSheetId="5">#REF!,#REF!,#REF!,#REF!,#REF!,#REF!</definedName>
    <definedName name="ebitdaprom" localSheetId="6">#REF!,#REF!,#REF!,#REF!,#REF!,#REF!</definedName>
    <definedName name="ebitdaprom">#REF!,#REF!,#REF!,#REF!,#REF!,#REF!</definedName>
    <definedName name="_xlnm.Print_Area" localSheetId="1">' Consolidado Balance'!$A$1:$H$51</definedName>
    <definedName name="_xlnm.Print_Area" localSheetId="10">'Coca-Cola FEMSA'!$A$1:$O$30</definedName>
    <definedName name="_xlnm.Print_Area" localSheetId="0">'Consolidado Resultados'!$A$1:$O$50</definedName>
    <definedName name="_xlnm.Print_Area" localSheetId="2">'Consolidado Resultados Ajustes'!$A$1:$E$77</definedName>
    <definedName name="_xlnm.Print_Area" localSheetId="4">'Consolidado Resultados Orgánico'!$A$1:$O$40</definedName>
    <definedName name="_xlnm.Print_Area" localSheetId="8">'FEMCO Comercial Org'!$A$1:$J$20</definedName>
    <definedName name="_xlnm.Print_Area" localSheetId="9">'FEMCO OXXO'!$A$1:$G$20</definedName>
    <definedName name="_xlnm.Print_Area" localSheetId="7">'FEMSA Comercio-Div Combustibles'!$A$1:$M$34</definedName>
    <definedName name="_xlnm.Print_Area" localSheetId="5">'FEMSA Comercio-Div Comercial'!$A$1:$M$32</definedName>
    <definedName name="_xlnm.Print_Area" localSheetId="6">'FEMSA Comercio-Div Salud'!$A$1:$M$31</definedName>
    <definedName name="_xlnm.Print_Area" localSheetId="11">'Otros indicadores'!$A$1:$K$17</definedName>
    <definedName name="_xlnm.Print_Area" localSheetId="12">Variaciones!$A$1:$V$49</definedName>
  </definedNames>
  <calcPr calcId="171027" iterate="1"/>
</workbook>
</file>

<file path=xl/calcChain.xml><?xml version="1.0" encoding="utf-8"?>
<calcChain xmlns="http://schemas.openxmlformats.org/spreadsheetml/2006/main">
  <c r="D13" i="12" l="1"/>
  <c r="H20" i="10" l="1"/>
  <c r="F8" i="23" l="1"/>
  <c r="F15" i="22"/>
  <c r="E9" i="22"/>
  <c r="E32" i="14"/>
  <c r="D10" i="23"/>
  <c r="E73" i="10"/>
  <c r="E33" i="10"/>
  <c r="E30" i="10"/>
  <c r="E29" i="10"/>
  <c r="E26" i="10"/>
  <c r="E25" i="10"/>
  <c r="E24" i="10"/>
  <c r="E22" i="10"/>
  <c r="E21" i="10"/>
  <c r="E20" i="10"/>
  <c r="E17" i="10"/>
  <c r="E16" i="10"/>
  <c r="E14" i="10"/>
  <c r="E12" i="10"/>
  <c r="M53" i="14"/>
  <c r="M54" i="14" s="1"/>
  <c r="M45" i="14"/>
  <c r="M46" i="14" s="1"/>
  <c r="E37" i="15"/>
  <c r="E31" i="15"/>
  <c r="E45" i="14"/>
  <c r="E46" i="14" s="1"/>
  <c r="J6" i="14"/>
  <c r="J42" i="14" s="1"/>
  <c r="C6" i="14"/>
  <c r="C42" i="14" s="1"/>
  <c r="D21" i="12"/>
  <c r="C6" i="23"/>
  <c r="C6" i="22"/>
  <c r="E7" i="23"/>
  <c r="C7" i="23"/>
  <c r="E7" i="22"/>
  <c r="C7" i="22"/>
  <c r="M14" i="23"/>
  <c r="O14" i="22"/>
  <c r="K9" i="22"/>
  <c r="N17" i="22"/>
  <c r="L14" i="23"/>
  <c r="L13" i="22"/>
  <c r="L11" i="23"/>
  <c r="L17" i="23"/>
  <c r="L17" i="22"/>
  <c r="N8" i="22"/>
  <c r="L8" i="23"/>
  <c r="N10" i="22"/>
  <c r="L8" i="22"/>
  <c r="D25" i="12"/>
  <c r="M31" i="15"/>
  <c r="L41" i="15"/>
  <c r="L36" i="15"/>
  <c r="G18" i="14"/>
  <c r="G14" i="14"/>
  <c r="G13" i="14"/>
  <c r="J35" i="14"/>
  <c r="J31" i="14"/>
  <c r="J27" i="14"/>
  <c r="J28" i="14" s="1"/>
  <c r="L8" i="14"/>
  <c r="J8" i="14"/>
  <c r="J34" i="14"/>
  <c r="J36" i="14" s="1"/>
  <c r="J30" i="14"/>
  <c r="J41" i="15"/>
  <c r="J12" i="15"/>
  <c r="J13" i="15"/>
  <c r="J14" i="15"/>
  <c r="J15" i="15"/>
  <c r="J16" i="15"/>
  <c r="J17" i="15"/>
  <c r="J19" i="15"/>
  <c r="J20" i="15"/>
  <c r="K38" i="15"/>
  <c r="L34" i="14"/>
  <c r="L35" i="14" s="1"/>
  <c r="N35" i="14" s="1"/>
  <c r="L30" i="14"/>
  <c r="L31" i="14" s="1"/>
  <c r="K39" i="15"/>
  <c r="D13" i="10"/>
  <c r="C29" i="15"/>
  <c r="E28" i="15"/>
  <c r="E20" i="15"/>
  <c r="D20" i="15"/>
  <c r="E19" i="15"/>
  <c r="D19" i="15"/>
  <c r="E16" i="15"/>
  <c r="D16" i="15"/>
  <c r="E15" i="15"/>
  <c r="D15" i="15"/>
  <c r="D17" i="15" s="1"/>
  <c r="E13" i="15"/>
  <c r="D13" i="15"/>
  <c r="E12" i="15"/>
  <c r="D12" i="15"/>
  <c r="D14" i="15" s="1"/>
  <c r="E17" i="15"/>
  <c r="I18" i="15"/>
  <c r="I21" i="15" s="1"/>
  <c r="K18" i="15"/>
  <c r="K21" i="15" s="1"/>
  <c r="E34" i="15"/>
  <c r="E29" i="15"/>
  <c r="E9" i="14"/>
  <c r="F9" i="14" s="1"/>
  <c r="E35" i="15"/>
  <c r="K31" i="15"/>
  <c r="K35" i="15"/>
  <c r="K36" i="15" s="1"/>
  <c r="K29" i="15"/>
  <c r="K32" i="15"/>
  <c r="K37" i="15"/>
  <c r="K33" i="15"/>
  <c r="K30" i="15"/>
  <c r="E56" i="12"/>
  <c r="E76" i="10"/>
  <c r="D18" i="10"/>
  <c r="D16" i="12"/>
  <c r="D17" i="12" s="1"/>
  <c r="F8" i="22"/>
  <c r="D8" i="22"/>
  <c r="D8" i="23"/>
  <c r="F14" i="22"/>
  <c r="D14" i="23"/>
  <c r="E14" i="15" l="1"/>
  <c r="E18" i="15" s="1"/>
  <c r="E21" i="15" s="1"/>
  <c r="D19" i="10"/>
  <c r="D28" i="10" s="1"/>
  <c r="D31" i="10" s="1"/>
  <c r="D32" i="10" s="1"/>
  <c r="N9" i="22"/>
  <c r="G17" i="14"/>
  <c r="N31" i="14"/>
  <c r="J32" i="14"/>
  <c r="H30" i="10"/>
  <c r="N17" i="14"/>
  <c r="J19" i="14"/>
  <c r="E15" i="14"/>
  <c r="M40" i="15"/>
  <c r="L15" i="14"/>
  <c r="L23" i="14"/>
  <c r="N14" i="14"/>
  <c r="N22" i="14"/>
  <c r="N11" i="22"/>
  <c r="M12" i="22"/>
  <c r="N15" i="22"/>
  <c r="K9" i="23"/>
  <c r="L13" i="23"/>
  <c r="G21" i="14"/>
  <c r="M8" i="23"/>
  <c r="M17" i="23"/>
  <c r="G10" i="22"/>
  <c r="G15" i="22"/>
  <c r="F10" i="22"/>
  <c r="F9" i="22" s="1"/>
  <c r="I34" i="14"/>
  <c r="D13" i="23"/>
  <c r="E30" i="15"/>
  <c r="D11" i="23"/>
  <c r="K40" i="15"/>
  <c r="H17" i="15"/>
  <c r="P17" i="15" s="1"/>
  <c r="F20" i="15"/>
  <c r="L40" i="15"/>
  <c r="H19" i="15"/>
  <c r="Q19" i="15" s="1"/>
  <c r="I9" i="23"/>
  <c r="C23" i="14"/>
  <c r="F17" i="15"/>
  <c r="F13" i="15"/>
  <c r="H20" i="15"/>
  <c r="N20" i="15" s="1"/>
  <c r="K41" i="15"/>
  <c r="J17" i="23"/>
  <c r="M13" i="23"/>
  <c r="M15" i="23"/>
  <c r="N13" i="22"/>
  <c r="G13" i="22"/>
  <c r="N34" i="14"/>
  <c r="N21" i="14"/>
  <c r="F12" i="15"/>
  <c r="H13" i="15"/>
  <c r="P13" i="15" s="1"/>
  <c r="H16" i="15"/>
  <c r="Q16" i="15" s="1"/>
  <c r="J18" i="15"/>
  <c r="J21" i="15" s="1"/>
  <c r="H12" i="15"/>
  <c r="P12" i="15" s="1"/>
  <c r="H15" i="15"/>
  <c r="S15" i="15" s="1"/>
  <c r="F19" i="15"/>
  <c r="L31" i="15"/>
  <c r="M41" i="15"/>
  <c r="L15" i="23"/>
  <c r="L16" i="23" s="1"/>
  <c r="K16" i="23"/>
  <c r="J11" i="23"/>
  <c r="J14" i="23"/>
  <c r="I16" i="23"/>
  <c r="M11" i="23"/>
  <c r="J13" i="23"/>
  <c r="F17" i="23"/>
  <c r="E9" i="23"/>
  <c r="M10" i="23"/>
  <c r="L10" i="23"/>
  <c r="K12" i="23"/>
  <c r="J10" i="23"/>
  <c r="J15" i="23"/>
  <c r="L14" i="22"/>
  <c r="O12" i="22"/>
  <c r="O8" i="22"/>
  <c r="O10" i="22"/>
  <c r="O13" i="22"/>
  <c r="N14" i="22"/>
  <c r="N16" i="22" s="1"/>
  <c r="L10" i="22"/>
  <c r="L9" i="22" s="1"/>
  <c r="K16" i="22"/>
  <c r="O11" i="22"/>
  <c r="O15" i="22"/>
  <c r="M16" i="22"/>
  <c r="N30" i="14"/>
  <c r="C15" i="14"/>
  <c r="J15" i="14"/>
  <c r="J23" i="14"/>
  <c r="N18" i="14"/>
  <c r="G22" i="14"/>
  <c r="R16" i="15"/>
  <c r="N16" i="15"/>
  <c r="V16" i="15" s="1"/>
  <c r="F14" i="15"/>
  <c r="D18" i="15"/>
  <c r="H14" i="15"/>
  <c r="U15" i="15"/>
  <c r="Q15" i="15"/>
  <c r="N13" i="15"/>
  <c r="V13" i="15" s="1"/>
  <c r="R17" i="15"/>
  <c r="F15" i="15"/>
  <c r="F16" i="15"/>
  <c r="S17" i="15"/>
  <c r="I12" i="23"/>
  <c r="J8" i="23"/>
  <c r="L11" i="22"/>
  <c r="M9" i="22"/>
  <c r="O9" i="22" s="1"/>
  <c r="O17" i="22"/>
  <c r="L15" i="22"/>
  <c r="N13" i="14"/>
  <c r="L19" i="14"/>
  <c r="C19" i="14"/>
  <c r="H30" i="14"/>
  <c r="D26" i="12"/>
  <c r="D29" i="12" s="1"/>
  <c r="D30" i="12" s="1"/>
  <c r="U49" i="14"/>
  <c r="U50" i="14" s="1"/>
  <c r="D52" i="12"/>
  <c r="D54" i="12" s="1"/>
  <c r="C36" i="14"/>
  <c r="G17" i="23"/>
  <c r="U45" i="14"/>
  <c r="U46" i="14" s="1"/>
  <c r="F13" i="22"/>
  <c r="D17" i="23"/>
  <c r="G15" i="23"/>
  <c r="S45" i="14"/>
  <c r="S46" i="14" s="1"/>
  <c r="S53" i="14"/>
  <c r="S54" i="14" s="1"/>
  <c r="E53" i="14"/>
  <c r="E54" i="14" s="1"/>
  <c r="E33" i="15"/>
  <c r="E11" i="14"/>
  <c r="F11" i="14" s="1"/>
  <c r="E49" i="14"/>
  <c r="E50" i="14" s="1"/>
  <c r="E10" i="14"/>
  <c r="F10" i="14" s="1"/>
  <c r="L9" i="14"/>
  <c r="M9" i="14" s="1"/>
  <c r="E38" i="15"/>
  <c r="E16" i="23"/>
  <c r="G27" i="14"/>
  <c r="E28" i="14"/>
  <c r="G35" i="14"/>
  <c r="E36" i="14"/>
  <c r="H34" i="14"/>
  <c r="G14" i="23"/>
  <c r="C12" i="22"/>
  <c r="G8" i="23"/>
  <c r="G26" i="14"/>
  <c r="E36" i="15"/>
  <c r="M49" i="14"/>
  <c r="I30" i="14"/>
  <c r="C28" i="14"/>
  <c r="F15" i="23"/>
  <c r="U53" i="14"/>
  <c r="L10" i="14"/>
  <c r="G11" i="23"/>
  <c r="F10" i="23"/>
  <c r="F9" i="23" s="1"/>
  <c r="G30" i="14"/>
  <c r="S49" i="14"/>
  <c r="S50" i="14" s="1"/>
  <c r="E32" i="15"/>
  <c r="L11" i="14"/>
  <c r="D14" i="22"/>
  <c r="N77" i="14"/>
  <c r="L40" i="14"/>
  <c r="L38" i="14"/>
  <c r="D9" i="23"/>
  <c r="E75" i="10"/>
  <c r="C9" i="22"/>
  <c r="G9" i="22" s="1"/>
  <c r="D17" i="22"/>
  <c r="G8" i="22"/>
  <c r="D11" i="22"/>
  <c r="D13" i="22"/>
  <c r="L27" i="14"/>
  <c r="N27" i="14" s="1"/>
  <c r="N26" i="14"/>
  <c r="G11" i="22"/>
  <c r="E12" i="22"/>
  <c r="G13" i="23"/>
  <c r="F13" i="23"/>
  <c r="E12" i="23"/>
  <c r="C16" i="23"/>
  <c r="C13" i="10"/>
  <c r="E11" i="10"/>
  <c r="F73" i="10" s="1"/>
  <c r="C32" i="14"/>
  <c r="G31" i="14"/>
  <c r="C16" i="22"/>
  <c r="G14" i="22"/>
  <c r="G10" i="23"/>
  <c r="C9" i="23"/>
  <c r="C12" i="23"/>
  <c r="F17" i="22"/>
  <c r="F16" i="22" s="1"/>
  <c r="E16" i="22"/>
  <c r="G17" i="22"/>
  <c r="F11" i="22"/>
  <c r="D15" i="23"/>
  <c r="C18" i="10"/>
  <c r="E18" i="10" s="1"/>
  <c r="G34" i="14"/>
  <c r="F14" i="23"/>
  <c r="D10" i="22"/>
  <c r="D9" i="22" s="1"/>
  <c r="D15" i="22"/>
  <c r="F11" i="23"/>
  <c r="C23" i="10"/>
  <c r="R13" i="15" l="1"/>
  <c r="T12" i="15"/>
  <c r="Q17" i="15"/>
  <c r="L16" i="22"/>
  <c r="Q13" i="15"/>
  <c r="N12" i="15"/>
  <c r="V12" i="15" s="1"/>
  <c r="N17" i="15"/>
  <c r="V17" i="15" s="1"/>
  <c r="U17" i="15"/>
  <c r="T13" i="15"/>
  <c r="T17" i="15"/>
  <c r="P16" i="15"/>
  <c r="N19" i="15"/>
  <c r="V19" i="15" s="1"/>
  <c r="U19" i="15"/>
  <c r="R19" i="15"/>
  <c r="P19" i="15"/>
  <c r="U12" i="15"/>
  <c r="S16" i="15"/>
  <c r="S19" i="15"/>
  <c r="M9" i="23"/>
  <c r="M50" i="14"/>
  <c r="L39" i="14" s="1"/>
  <c r="M12" i="23"/>
  <c r="L12" i="23"/>
  <c r="D12" i="23"/>
  <c r="N12" i="22"/>
  <c r="W50" i="14"/>
  <c r="G16" i="23"/>
  <c r="E38" i="14"/>
  <c r="D16" i="23"/>
  <c r="R15" i="15"/>
  <c r="T19" i="15"/>
  <c r="N15" i="15"/>
  <c r="V15" i="15" s="1"/>
  <c r="J12" i="23"/>
  <c r="S12" i="15"/>
  <c r="Q12" i="15"/>
  <c r="T16" i="15"/>
  <c r="U16" i="15"/>
  <c r="R12" i="15"/>
  <c r="U13" i="15"/>
  <c r="P15" i="15"/>
  <c r="T15" i="15"/>
  <c r="S13" i="15"/>
  <c r="G9" i="23"/>
  <c r="M16" i="23"/>
  <c r="L9" i="23"/>
  <c r="J16" i="23"/>
  <c r="J9" i="23"/>
  <c r="L12" i="22"/>
  <c r="O16" i="22"/>
  <c r="D21" i="15"/>
  <c r="F18" i="15"/>
  <c r="R14" i="15"/>
  <c r="T14" i="15"/>
  <c r="Q14" i="15"/>
  <c r="U14" i="15"/>
  <c r="P14" i="15"/>
  <c r="S14" i="15"/>
  <c r="H18" i="15"/>
  <c r="N14" i="15"/>
  <c r="M11" i="14"/>
  <c r="W46" i="14"/>
  <c r="M10" i="14"/>
  <c r="E40" i="14"/>
  <c r="F12" i="22"/>
  <c r="W45" i="14"/>
  <c r="H12" i="22"/>
  <c r="G12" i="22"/>
  <c r="E39" i="15"/>
  <c r="E40" i="15" s="1"/>
  <c r="F16" i="23"/>
  <c r="F14" i="10"/>
  <c r="F15" i="10" s="1"/>
  <c r="W49" i="14"/>
  <c r="F12" i="23"/>
  <c r="G12" i="23"/>
  <c r="G16" i="22"/>
  <c r="U54" i="14"/>
  <c r="W54" i="14" s="1"/>
  <c r="W53" i="14"/>
  <c r="C19" i="10"/>
  <c r="E13" i="10"/>
  <c r="F75" i="10"/>
  <c r="H11" i="22"/>
  <c r="D12" i="22"/>
  <c r="D16" i="22"/>
  <c r="E23" i="10"/>
  <c r="C27" i="10"/>
  <c r="E27" i="10" s="1"/>
  <c r="F11" i="10"/>
  <c r="K45" i="14" l="1"/>
  <c r="E39" i="14"/>
  <c r="N18" i="15"/>
  <c r="V18" i="15" s="1"/>
  <c r="V14" i="15"/>
  <c r="U18" i="15"/>
  <c r="T18" i="15"/>
  <c r="Q18" i="15"/>
  <c r="S18" i="15"/>
  <c r="P18" i="15"/>
  <c r="R18" i="15"/>
  <c r="F21" i="15"/>
  <c r="H21" i="15"/>
  <c r="F13" i="10"/>
  <c r="F12" i="10" s="1"/>
  <c r="C72" i="10"/>
  <c r="C28" i="10"/>
  <c r="E28" i="10" s="1"/>
  <c r="K53" i="14"/>
  <c r="T21" i="15" l="1"/>
  <c r="P21" i="15"/>
  <c r="U21" i="15"/>
  <c r="S21" i="15"/>
  <c r="N21" i="15"/>
  <c r="V21" i="15" s="1"/>
  <c r="Q21" i="15"/>
  <c r="R21" i="15"/>
  <c r="O45" i="14"/>
  <c r="O53" i="14"/>
  <c r="K9" i="14"/>
  <c r="N9" i="14"/>
  <c r="N11" i="14"/>
  <c r="K11" i="14"/>
  <c r="C31" i="10"/>
  <c r="C74" i="10"/>
  <c r="C32" i="10" l="1"/>
  <c r="E32" i="10" s="1"/>
  <c r="E31" i="10"/>
  <c r="H28" i="10"/>
  <c r="E22" i="12" l="1"/>
  <c r="E53" i="12"/>
  <c r="E24" i="12"/>
  <c r="E20" i="12"/>
  <c r="E12" i="12"/>
  <c r="E31" i="12"/>
  <c r="E23" i="12"/>
  <c r="E14" i="12"/>
  <c r="E9" i="12"/>
  <c r="E18" i="12"/>
  <c r="E28" i="12" l="1"/>
  <c r="E13" i="12"/>
  <c r="C16" i="12"/>
  <c r="E16" i="12" s="1"/>
  <c r="E15" i="12"/>
  <c r="E55" i="12"/>
  <c r="C45" i="14"/>
  <c r="D29" i="15"/>
  <c r="C9" i="14"/>
  <c r="D32" i="15"/>
  <c r="D38" i="15"/>
  <c r="D34" i="15"/>
  <c r="E19" i="12"/>
  <c r="C21" i="12"/>
  <c r="D35" i="15" l="1"/>
  <c r="E27" i="12"/>
  <c r="E21" i="12"/>
  <c r="C25" i="12"/>
  <c r="E25" i="12" s="1"/>
  <c r="F34" i="15"/>
  <c r="H34" i="15"/>
  <c r="H29" i="15"/>
  <c r="F29" i="15"/>
  <c r="D33" i="15"/>
  <c r="F38" i="15"/>
  <c r="H38" i="15"/>
  <c r="D36" i="15"/>
  <c r="F36" i="15" s="1"/>
  <c r="G45" i="14"/>
  <c r="C11" i="14"/>
  <c r="C53" i="14"/>
  <c r="E10" i="12"/>
  <c r="C11" i="12"/>
  <c r="F28" i="12"/>
  <c r="H32" i="15"/>
  <c r="F32" i="15"/>
  <c r="D9" i="14"/>
  <c r="G9" i="14"/>
  <c r="F18" i="12"/>
  <c r="G53" i="14" l="1"/>
  <c r="G11" i="14"/>
  <c r="D11" i="14"/>
  <c r="P38" i="15"/>
  <c r="U38" i="15"/>
  <c r="T38" i="15"/>
  <c r="S38" i="15"/>
  <c r="S32" i="15"/>
  <c r="P32" i="15"/>
  <c r="T32" i="15"/>
  <c r="U32" i="15"/>
  <c r="P29" i="15"/>
  <c r="U29" i="15"/>
  <c r="T29" i="15"/>
  <c r="S29" i="15"/>
  <c r="H35" i="15"/>
  <c r="H36" i="15" s="1"/>
  <c r="F35" i="15"/>
  <c r="C17" i="12"/>
  <c r="E11" i="12"/>
  <c r="F33" i="15"/>
  <c r="H33" i="15"/>
  <c r="T34" i="15"/>
  <c r="S34" i="15"/>
  <c r="U34" i="15"/>
  <c r="P34" i="15"/>
  <c r="D30" i="15"/>
  <c r="H30" i="15" l="1"/>
  <c r="F30" i="15"/>
  <c r="C26" i="12"/>
  <c r="C52" i="12"/>
  <c r="E17" i="12"/>
  <c r="P36" i="15"/>
  <c r="S36" i="15"/>
  <c r="T36" i="15"/>
  <c r="U36" i="15"/>
  <c r="S33" i="15"/>
  <c r="P33" i="15"/>
  <c r="T33" i="15"/>
  <c r="U33" i="15"/>
  <c r="P35" i="15"/>
  <c r="U35" i="15"/>
  <c r="T35" i="15"/>
  <c r="S35" i="15"/>
  <c r="D31" i="15"/>
  <c r="H31" i="15" l="1"/>
  <c r="F31" i="15"/>
  <c r="C49" i="14"/>
  <c r="D37" i="15"/>
  <c r="C10" i="14"/>
  <c r="E52" i="12"/>
  <c r="C54" i="12"/>
  <c r="E54" i="12" s="1"/>
  <c r="C29" i="12"/>
  <c r="E26" i="12"/>
  <c r="C32" i="12"/>
  <c r="P30" i="15"/>
  <c r="U30" i="15"/>
  <c r="S30" i="15"/>
  <c r="T30" i="15"/>
  <c r="F26" i="12" l="1"/>
  <c r="E29" i="12"/>
  <c r="C30" i="12"/>
  <c r="E30" i="12" s="1"/>
  <c r="F37" i="15"/>
  <c r="H37" i="15"/>
  <c r="D39" i="15"/>
  <c r="D40" i="15" s="1"/>
  <c r="F40" i="15" s="1"/>
  <c r="S31" i="15"/>
  <c r="P31" i="15"/>
  <c r="U31" i="15"/>
  <c r="T31" i="15"/>
  <c r="D10" i="14"/>
  <c r="G10" i="14"/>
  <c r="G49" i="14"/>
  <c r="T37" i="15" l="1"/>
  <c r="P37" i="15"/>
  <c r="U37" i="15"/>
  <c r="S37" i="15"/>
  <c r="F39" i="15"/>
  <c r="H39" i="15"/>
  <c r="H40" i="15" s="1"/>
  <c r="P40" i="15" l="1"/>
  <c r="S40" i="15"/>
  <c r="T40" i="15"/>
  <c r="U40" i="15"/>
  <c r="S39" i="15"/>
  <c r="P39" i="15"/>
  <c r="U39" i="15"/>
  <c r="T39" i="15"/>
  <c r="H41" i="15"/>
  <c r="C50" i="14" l="1"/>
  <c r="C46" i="14"/>
  <c r="C54" i="14"/>
  <c r="K46" i="14" l="1"/>
  <c r="O46" i="14" s="1"/>
  <c r="J38" i="14" l="1"/>
  <c r="N38" i="14" s="1"/>
  <c r="K54" i="14"/>
  <c r="J40" i="14" s="1"/>
  <c r="N40" i="14" s="1"/>
  <c r="G50" i="14"/>
  <c r="C39" i="14"/>
  <c r="C38" i="14"/>
  <c r="G38" i="14" s="1"/>
  <c r="G46" i="14"/>
  <c r="G54" i="14"/>
  <c r="C40" i="14"/>
  <c r="O54" i="14" l="1"/>
  <c r="G40" i="14"/>
  <c r="I40" i="14"/>
  <c r="G39" i="14"/>
  <c r="I39" i="14"/>
  <c r="I29" i="15" l="1"/>
  <c r="I32" i="15" l="1"/>
  <c r="N29" i="15"/>
  <c r="V29" i="15" s="1"/>
  <c r="Q29" i="15"/>
  <c r="I38" i="15"/>
  <c r="I30" i="15"/>
  <c r="I37" i="15"/>
  <c r="I35" i="15"/>
  <c r="I34" i="15"/>
  <c r="I31" i="15"/>
  <c r="N35" i="15" l="1"/>
  <c r="V35" i="15" s="1"/>
  <c r="Q35" i="15"/>
  <c r="I39" i="15"/>
  <c r="Q38" i="15"/>
  <c r="N38" i="15"/>
  <c r="N37" i="15"/>
  <c r="V37" i="15" s="1"/>
  <c r="Q37" i="15"/>
  <c r="Q31" i="15"/>
  <c r="N31" i="15"/>
  <c r="V31" i="15" s="1"/>
  <c r="Q30" i="15"/>
  <c r="N30" i="15"/>
  <c r="V30" i="15" s="1"/>
  <c r="I36" i="15"/>
  <c r="Q36" i="15" s="1"/>
  <c r="N34" i="15"/>
  <c r="Q34" i="15"/>
  <c r="N32" i="15"/>
  <c r="V32" i="15" s="1"/>
  <c r="Q32" i="15"/>
  <c r="I41" i="15" l="1"/>
  <c r="N39" i="15"/>
  <c r="V39" i="15" s="1"/>
  <c r="Q39" i="15"/>
  <c r="V34" i="15"/>
  <c r="N36" i="15"/>
  <c r="V36" i="15" s="1"/>
  <c r="I40" i="15"/>
  <c r="V38" i="15"/>
  <c r="I33" i="15"/>
  <c r="N41" i="15" l="1"/>
  <c r="N40" i="15"/>
  <c r="V40" i="15" s="1"/>
  <c r="Q40" i="15"/>
  <c r="N33" i="15"/>
  <c r="V33" i="15" s="1"/>
  <c r="Q33" i="15"/>
  <c r="D72" i="10" l="1"/>
  <c r="E72" i="10" s="1"/>
  <c r="E15" i="10"/>
  <c r="E19" i="10"/>
  <c r="F19" i="10" s="1"/>
  <c r="F72" i="10" s="1"/>
  <c r="F74" i="10" s="1"/>
  <c r="D74" i="10" l="1"/>
  <c r="E74" i="10" s="1"/>
  <c r="K49" i="14" l="1"/>
  <c r="N10" i="14" l="1"/>
  <c r="K10" i="14"/>
  <c r="K50" i="14"/>
  <c r="O49" i="14"/>
  <c r="J39" i="14" l="1"/>
  <c r="N39" i="14" s="1"/>
  <c r="O50" i="14"/>
</calcChain>
</file>

<file path=xl/sharedStrings.xml><?xml version="1.0" encoding="utf-8"?>
<sst xmlns="http://schemas.openxmlformats.org/spreadsheetml/2006/main" count="565" uniqueCount="244">
  <si>
    <t>FEMSA</t>
  </si>
  <si>
    <t>Estado de Resultados Consolidado</t>
  </si>
  <si>
    <t>Millones de pesos</t>
  </si>
  <si>
    <t>Por el tercer trimestre de:</t>
  </si>
  <si>
    <t>% Integral</t>
  </si>
  <si>
    <t>Ingresos Totales</t>
  </si>
  <si>
    <t>Costo de ventas</t>
  </si>
  <si>
    <t>Utilidad bruta</t>
  </si>
  <si>
    <t xml:space="preserve">      Gasto financiero</t>
  </si>
  <si>
    <t xml:space="preserve">      Producto financiero</t>
  </si>
  <si>
    <t xml:space="preserve">  Gasto financiero, neto</t>
  </si>
  <si>
    <t xml:space="preserve">  Fluctuación cambiaria</t>
  </si>
  <si>
    <t xml:space="preserve">  Ganancia / (Pérdida) por posición monetaria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</si>
  <si>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</si>
  <si>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</si>
  <si>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</si>
  <si>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</si>
  <si>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</si>
  <si>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</si>
  <si>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</si>
  <si>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</si>
  <si>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</si>
  <si>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</si>
  <si>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 xml:space="preserve"> 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</si>
  <si>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</si>
  <si>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</si>
  <si>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</si>
  <si>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</si>
  <si>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</si>
  <si>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</si>
  <si>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</si>
  <si>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</si>
  <si>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</si>
  <si>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</si>
  <si>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Gastos de administración</t>
  </si>
  <si>
    <t>Gastos de venta</t>
  </si>
  <si>
    <t>Información de Tiendas OXXO</t>
  </si>
  <si>
    <t>Tiendas totales</t>
  </si>
  <si>
    <t>Ventas (miles de pesos)</t>
  </si>
  <si>
    <t>AJUSTES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</si>
  <si>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</si>
  <si>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</si>
  <si>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</si>
  <si>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</si>
  <si>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</si>
  <si>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</si>
  <si>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</si>
  <si>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</si>
  <si>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</si>
  <si>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</si>
  <si>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</si>
  <si>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</si>
  <si>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</si>
  <si>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</si>
  <si>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</si>
  <si>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</si>
  <si>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</si>
  <si>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</si>
  <si>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</si>
  <si>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</si>
  <si>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t xml:space="preserve">Utilidad neta antes de impuesto a la utilidad </t>
  </si>
  <si>
    <t>Resultado integral de financiamiento</t>
  </si>
  <si>
    <t>Indicador de operación FEMSA</t>
  </si>
  <si>
    <t>Flujo Bruto de Operación</t>
  </si>
  <si>
    <t>FLUJO BRUTO OPERACIÓN y CAPEX</t>
  </si>
  <si>
    <t xml:space="preserve">  Ganancia / (Pérdida) en instrumentos financieros derivados</t>
  </si>
  <si>
    <t>Millions of Pesos</t>
  </si>
  <si>
    <t>Millones de Pesos</t>
  </si>
  <si>
    <t>Participación en los resultados de Heineken</t>
  </si>
  <si>
    <t>Otros gastos (productos) operativos</t>
  </si>
  <si>
    <t xml:space="preserve">Otros gastos (productos) no operativos </t>
  </si>
  <si>
    <t>Utilidad de operación FEMSA</t>
  </si>
  <si>
    <t xml:space="preserve">Utilidad de operación </t>
  </si>
  <si>
    <t>Utilidad de operación</t>
  </si>
  <si>
    <t>Método de participación operativo Ganancia (Pérdida)</t>
  </si>
  <si>
    <t>Otros gastos (productos) operativos, neto</t>
  </si>
  <si>
    <t>Amortización y otras partidas virtuales</t>
  </si>
  <si>
    <t>Tasa Promedio</t>
  </si>
  <si>
    <t>Contratado en:</t>
  </si>
  <si>
    <t>Deuda total</t>
  </si>
  <si>
    <t>% de la Deuda total</t>
  </si>
  <si>
    <t>% Crec.</t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</si>
  <si>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</si>
  <si>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</si>
  <si>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</si>
  <si>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Inflación</t>
  </si>
  <si>
    <t>Por USD</t>
  </si>
  <si>
    <t>Por Peso</t>
  </si>
  <si>
    <t xml:space="preserve">Zona Euro </t>
  </si>
  <si>
    <t>Ajustes</t>
  </si>
  <si>
    <t>% del Total</t>
  </si>
  <si>
    <t>Integración Variaciones</t>
  </si>
  <si>
    <t>Acumulado</t>
  </si>
  <si>
    <t xml:space="preserve">Integración variación en millones de Pesos </t>
  </si>
  <si>
    <t xml:space="preserve">Integración variación en % </t>
  </si>
  <si>
    <t>Coca-Cola</t>
  </si>
  <si>
    <t>Otros</t>
  </si>
  <si>
    <t>Consolidado</t>
  </si>
  <si>
    <t>Cerveza</t>
  </si>
  <si>
    <t>Comercio</t>
  </si>
  <si>
    <t xml:space="preserve">  Gastos de administración</t>
  </si>
  <si>
    <t xml:space="preserve">  Gastos de venta</t>
  </si>
  <si>
    <t>Gastos de operación</t>
  </si>
  <si>
    <t xml:space="preserve">Resultado de operación </t>
  </si>
  <si>
    <t>Amortización y otros</t>
  </si>
  <si>
    <t>N.S.</t>
  </si>
  <si>
    <t>EBITDA</t>
  </si>
  <si>
    <t>Integración variación en %</t>
  </si>
  <si>
    <t>Logística</t>
  </si>
  <si>
    <t>Empaques</t>
  </si>
  <si>
    <t>Resultado de operación</t>
  </si>
  <si>
    <t>% Inc.</t>
  </si>
  <si>
    <t>Razones Financieras</t>
  </si>
  <si>
    <t>Flujo Bruto de Operación y CAPEX</t>
  </si>
  <si>
    <t xml:space="preserve">  (Ganancia) Pérdida por fluctuación cambiaria</t>
  </si>
  <si>
    <t xml:space="preserve">  (Ganancia) / Pérdida por posición monetaria</t>
  </si>
  <si>
    <r>
      <t xml:space="preserve">  (Ganancia) / Pérdida en instrumentos financieros derivados</t>
    </r>
    <r>
      <rPr>
        <vertAlign val="superscript"/>
        <sz val="11"/>
        <color indexed="8"/>
        <rFont val="Arial Narrow"/>
        <family val="2"/>
      </rPr>
      <t>(3)</t>
    </r>
  </si>
  <si>
    <t>Gastos de Financiamiento, neto</t>
  </si>
  <si>
    <t>Acumulado a:</t>
  </si>
  <si>
    <t>A c u m u l a d o:</t>
  </si>
  <si>
    <t>2013
IFRS HYP</t>
  </si>
  <si>
    <t>2013
IFRS ajust</t>
  </si>
  <si>
    <t>Ingresos Totales KOF</t>
  </si>
  <si>
    <t>Ingresos Totales Organicos KOF</t>
  </si>
  <si>
    <t>Utilidad de operación KOF</t>
  </si>
  <si>
    <t>Utilidad de operación Organica KOF</t>
  </si>
  <si>
    <t>Flujo Bruto de Operación Organico KOF</t>
  </si>
  <si>
    <t>Ingresos Totales Organicos OXXO</t>
  </si>
  <si>
    <t>Utilidad de operación OXXO</t>
  </si>
  <si>
    <t>Utilidad de operación Organica OXXO</t>
  </si>
  <si>
    <r>
      <t xml:space="preserve">Flujo Bruto de  Operación </t>
    </r>
    <r>
      <rPr>
        <vertAlign val="superscript"/>
        <sz val="11"/>
        <color indexed="8"/>
        <rFont val="Arial Narrow"/>
        <family val="2"/>
      </rPr>
      <t>(2)</t>
    </r>
  </si>
  <si>
    <t>Flujo Bruto de Operación OXXO</t>
  </si>
  <si>
    <t>Flujo Bruto de Operación Organico OXXO</t>
  </si>
  <si>
    <r>
      <t>% Org.</t>
    </r>
    <r>
      <rPr>
        <b/>
        <vertAlign val="superscript"/>
        <sz val="10.1"/>
        <color indexed="8"/>
        <rFont val="Arial Narrow"/>
        <family val="2"/>
      </rPr>
      <t>(A)</t>
    </r>
  </si>
  <si>
    <t xml:space="preserve">Tiendas nuevas: </t>
  </si>
  <si>
    <t>TOTAL PASIVO Y CAPITAL CONTABLE</t>
  </si>
  <si>
    <t>Por los tres meses de:</t>
  </si>
  <si>
    <t>I Trimestre</t>
  </si>
  <si>
    <t>2015
IFRS HYP</t>
  </si>
  <si>
    <t>2015
IFRS ajust</t>
  </si>
  <si>
    <t>FEMSA Comercio-División Comercial Orgánico</t>
  </si>
  <si>
    <r>
      <t xml:space="preserve">% Org </t>
    </r>
    <r>
      <rPr>
        <b/>
        <vertAlign val="superscript"/>
        <sz val="10.1"/>
        <color indexed="8"/>
        <rFont val="Arial Narrow"/>
        <family val="2"/>
      </rPr>
      <t>(A)</t>
    </r>
  </si>
  <si>
    <t>FEMSA Comercio - OXXO</t>
  </si>
  <si>
    <t>Chile</t>
  </si>
  <si>
    <t>1Q 2016 HFM</t>
  </si>
  <si>
    <t>1Q 2016 Final</t>
  </si>
  <si>
    <r>
      <t>2016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</si>
  <si>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t>Ingresos Totales FEMCO</t>
  </si>
  <si>
    <t xml:space="preserve">Estaciones nuevas: </t>
  </si>
  <si>
    <t>Ventas netas</t>
  </si>
  <si>
    <t>Estaciones totales</t>
  </si>
  <si>
    <t>Precio Promedio por lt.</t>
  </si>
  <si>
    <t>VENTAS</t>
  </si>
  <si>
    <t>UT. OP</t>
  </si>
  <si>
    <t>ORG</t>
  </si>
  <si>
    <t>FEMSA INORGANICO</t>
  </si>
  <si>
    <t>FEMSA ORGÁNICO</t>
  </si>
  <si>
    <t>UT OPERACIÓN</t>
  </si>
  <si>
    <t>COMBUSTIBLES</t>
  </si>
  <si>
    <t>COMBUSTIBLES ORGANICO</t>
  </si>
  <si>
    <t>COMBUSTIBLES INORGÁNICO</t>
  </si>
  <si>
    <t>EBIT</t>
  </si>
  <si>
    <t>%VAR</t>
  </si>
  <si>
    <t>2Q 2016 HFM</t>
  </si>
  <si>
    <t>2Q 2016 Final</t>
  </si>
  <si>
    <t>ACUMULADO</t>
  </si>
  <si>
    <t>Últimos 12 meses</t>
  </si>
  <si>
    <t>Contra trimeste anterior</t>
  </si>
  <si>
    <t>Acumulado en el año</t>
  </si>
  <si>
    <t>Dic-16</t>
  </si>
  <si>
    <t>2022+</t>
  </si>
  <si>
    <t xml:space="preserve"> - Open Market (Diciembre)</t>
  </si>
  <si>
    <t xml:space="preserve"> - Torrey (Diciembre)</t>
  </si>
  <si>
    <t xml:space="preserve"> - Vonpar (Diciembre)</t>
  </si>
  <si>
    <t>UT.Neta</t>
  </si>
  <si>
    <t>Volumen (miles de litros)</t>
  </si>
  <si>
    <t>Filipinas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</si>
  <si>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12M = últimos doce meses. 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</si>
  <si>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</si>
  <si>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Ingresos totales</t>
  </si>
  <si>
    <t>Tráfico (miles de transacciones)</t>
  </si>
  <si>
    <t>Ticket (pesos)</t>
  </si>
  <si>
    <t>Flujo bruto de operación</t>
  </si>
  <si>
    <r>
      <t xml:space="preserve">Otros gastos (productos) operativos, neto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</si>
  <si>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Utilidad de operación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</si>
  <si>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Participación en los resultados de Asociadas </t>
    </r>
    <r>
      <rPr>
        <vertAlign val="superscript"/>
        <sz val="8"/>
        <color indexed="8"/>
        <rFont val="Calibri"/>
        <family val="2"/>
        <scheme val="minor"/>
      </rPr>
      <t>(3)</t>
    </r>
  </si>
  <si>
    <r>
      <t>Liquidez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</si>
  <si>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>Cobertura de intereses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</si>
  <si>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>Apalancamiento</t>
    </r>
    <r>
      <rPr>
        <vertAlign val="superscript"/>
        <sz val="8"/>
        <color indexed="8"/>
        <rFont val="Calibri"/>
        <family val="2"/>
        <scheme val="minor"/>
      </rPr>
      <t>(6)</t>
    </r>
  </si>
  <si>
    <r>
      <t>Capitalización</t>
    </r>
    <r>
      <rPr>
        <vertAlign val="superscript"/>
        <sz val="8"/>
        <color indexed="8"/>
        <rFont val="Calibri"/>
        <family val="2"/>
        <scheme val="minor"/>
      </rPr>
      <t>(7)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</si>
  <si>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Otros gastos (productos) operativos, neto = Otros gastos (Productos) operativos +(-) Metodo de participación operativo.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</si>
  <si>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Utilidad de operación = Utilidad bruta - Gastos de administración y venta  - Otros gastos (Productos) operativos, neto.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</si>
  <si>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Representa principalmente el método de participación en los resultados de Heineken, neto.</t>
    </r>
  </si>
  <si>
    <r>
      <t>(4)</t>
    </r>
    <r>
      <rPr>
        <sz val="7"/>
        <rFont val="Calibri"/>
        <family val="2"/>
        <scheme val="minor"/>
      </rPr>
      <t xml:space="preserve"> Total activo circulante / total pasivo circulante.</t>
    </r>
  </si>
  <si>
    <r>
      <t>(5)</t>
    </r>
    <r>
      <rPr>
        <sz val="7"/>
        <rFont val="Calibri"/>
        <family val="2"/>
        <scheme val="minor"/>
      </rPr>
      <t xml:space="preserve"> Ut operación + depreciación + amortización y otras partidas virtuales/ gastos financieros, neto.</t>
    </r>
  </si>
  <si>
    <r>
      <t>(6)</t>
    </r>
    <r>
      <rPr>
        <sz val="7"/>
        <rFont val="Calibri"/>
        <family val="2"/>
        <scheme val="minor"/>
      </rPr>
      <t xml:space="preserve"> Total pasivos / total capital contable.</t>
    </r>
  </si>
  <si>
    <r>
      <t>(7)</t>
    </r>
    <r>
      <rPr>
        <sz val="7"/>
        <rFont val="Calibri"/>
        <family val="2"/>
        <scheme val="minor"/>
      </rPr>
      <t xml:space="preserve"> Deuda total / préstamos bancarios L.P. + capital contable.</t>
    </r>
  </si>
  <si>
    <t>Producto financiero</t>
  </si>
  <si>
    <t>Pérdida / (Ganancia) por fluctuación cambiaria</t>
  </si>
  <si>
    <t>Gasto financiero, neto</t>
  </si>
  <si>
    <t>Otros gastos (productos) financieros, neto</t>
  </si>
  <si>
    <t>Gasto financiero</t>
  </si>
  <si>
    <t>Utilidad neta antes de impuesto a la utilidad
    y de Método Participación en Asociadas</t>
  </si>
  <si>
    <r>
      <t>Activos intangibles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</si>
  <si>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Deuda a largo plazo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</si>
  <si>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Tasa fija </t>
    </r>
    <r>
      <rPr>
        <vertAlign val="superscript"/>
        <sz val="8"/>
        <rFont val="Calibri"/>
        <family val="2"/>
        <scheme val="minor"/>
      </rPr>
      <t>(2)</t>
    </r>
  </si>
  <si>
    <r>
      <t xml:space="preserve">Tasa variable </t>
    </r>
    <r>
      <rPr>
        <vertAlign val="superscript"/>
        <sz val="8"/>
        <rFont val="Calibri"/>
        <family val="2"/>
        <scheme val="minor"/>
      </rPr>
      <t>(2)</t>
    </r>
  </si>
  <si>
    <r>
      <t>(1)</t>
    </r>
    <r>
      <rPr>
        <sz val="7"/>
        <color indexed="8"/>
        <rFont val="Calibri"/>
        <family val="2"/>
        <scheme val="minor"/>
      </rPr>
      <t xml:space="preserve"> Incluye los activos intangibles generados por las adquisiciones.</t>
    </r>
  </si>
  <si>
    <r>
      <t>(2)</t>
    </r>
    <r>
      <rPr>
        <sz val="7"/>
        <rFont val="Calibri"/>
        <family val="2"/>
        <scheme val="minor"/>
      </rPr>
      <t xml:space="preserve"> Incluye efecto de derivados de tipo de cambio y tasa de interés relacionados con los pasivos bancarios.</t>
    </r>
  </si>
  <si>
    <r>
      <t xml:space="preserve">MEZCLA DE MONEDAS Y TASAS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</si>
  <si>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t xml:space="preserve">Inversión en acciones </t>
  </si>
  <si>
    <t>Pesos mexicanos</t>
  </si>
  <si>
    <t>Euros</t>
  </si>
  <si>
    <t>Dólares</t>
  </si>
  <si>
    <t>Pesos Argentinos</t>
  </si>
  <si>
    <t>Pesos Colombianos</t>
  </si>
  <si>
    <t>Pesos Chilenos</t>
  </si>
  <si>
    <t xml:space="preserve">Reales </t>
  </si>
  <si>
    <t xml:space="preserve"> - Filipinas (Febrero)</t>
  </si>
  <si>
    <r>
      <t xml:space="preserve">Mismas tiendas: </t>
    </r>
    <r>
      <rPr>
        <vertAlign val="superscript"/>
        <sz val="8"/>
        <color indexed="8"/>
        <rFont val="Calibri"/>
        <family val="2"/>
        <scheme val="minor"/>
      </rPr>
      <t>(1)</t>
    </r>
  </si>
  <si>
    <t>FEMSA Comercio - División Comercial</t>
  </si>
  <si>
    <r>
      <t>FEMSA Comercio - División Salud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</si>
  <si>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r>
      <t>Tiendas nuevas</t>
    </r>
    <r>
      <rPr>
        <vertAlign val="superscript"/>
        <sz val="8"/>
        <rFont val="Calibri"/>
        <family val="2"/>
        <scheme val="minor"/>
      </rPr>
      <t>(1)</t>
    </r>
    <r>
      <rPr>
        <sz val="8"/>
        <rFont val="Calibri"/>
        <family val="2"/>
        <scheme val="minor"/>
      </rPr>
      <t xml:space="preserve">: </t>
    </r>
  </si>
  <si>
    <r>
      <t xml:space="preserve">Mismas tiendas: </t>
    </r>
    <r>
      <rPr>
        <vertAlign val="superscript"/>
        <sz val="8"/>
        <rFont val="Calibri"/>
        <family val="2"/>
        <scheme val="minor"/>
      </rPr>
      <t>(2)</t>
    </r>
  </si>
  <si>
    <t>Volumen (millones de litros) estaciones totales</t>
  </si>
  <si>
    <r>
      <t xml:space="preserve">Mismas estaciones: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</si>
  <si>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(1)</t>
    </r>
    <r>
      <rPr>
        <sz val="7"/>
        <rFont val="Calibri"/>
        <family val="2"/>
        <scheme val="minor"/>
      </rPr>
      <t xml:space="preserve"> Información promedio mensual por estación, considerando las estaciones con más de doce meses de operación.</t>
    </r>
  </si>
  <si>
    <t>VENCIMIENTOS DE LA DEUDA</t>
  </si>
  <si>
    <t>FEMSA Comercio - División Combustibles</t>
  </si>
  <si>
    <t>Tipo de Cambio al Final del Período</t>
  </si>
  <si>
    <t>Información de Tiendas</t>
  </si>
  <si>
    <t>Información de Estaciones de Servicio de OXXO GAS</t>
  </si>
  <si>
    <t>N/A</t>
  </si>
  <si>
    <t xml:space="preserve"> + Filipinas</t>
  </si>
  <si>
    <r>
      <t>(1)</t>
    </r>
    <r>
      <rPr>
        <sz val="7"/>
        <rFont val="Calibri"/>
        <family val="2"/>
        <scheme val="minor"/>
      </rPr>
      <t xml:space="preserve"> Información promedio mensual por tienda, considerando las mismas tiendas con más de doce meses de operación. Incluye servicios y corresponsalías.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</si>
  <si>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Incluye adquisiciones </t>
    </r>
  </si>
  <si>
    <r>
      <rPr>
        <vertAlign val="superscript"/>
        <sz val="7"/>
        <rFont val="Calibri"/>
        <family val="2"/>
        <scheme val="minor"/>
      </rPr>
      <t>(2)</t>
    </r>
    <r>
      <rPr>
        <sz val="7"/>
        <rFont val="Calibri"/>
        <family val="2"/>
        <scheme val="minor"/>
      </rPr>
      <t xml:space="preserve"> Información promedio mensual por tienda, considerando las tiendas con más de doce meses de operación en todas las operaciónes para FEMSA Comercio - División Salud.</t>
    </r>
  </si>
  <si>
    <t>Al 30 de Junio del 2017</t>
  </si>
  <si>
    <t>Por el segundo trimestre de:</t>
  </si>
  <si>
    <t xml:space="preserve"> 2T 2017</t>
  </si>
  <si>
    <r>
      <t>12M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"/>
        <color rgb="FF393943"/>
        <rFont val="Calibri"/>
        <family val="2"/>
        <scheme val="minor"/>
      </rPr>
      <t>Jun-17</t>
    </r>
  </si>
  <si>
    <t xml:space="preserve"> - Open Market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</si>
  <si>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Términos orgánicos (% Org.) Excluye los efectos de fusiones y adquisiciones significativas en los últimos doce meses.  Incluye los resultados de Coca-Cola FEMSA Philippines Inc., como si la operación se hubiese consolidado en el 2016.</t>
    </r>
  </si>
  <si>
    <r>
      <rPr>
        <vertAlign val="superscript"/>
        <sz val="7"/>
        <rFont val="Calibri"/>
        <family val="2"/>
      </rPr>
      <t>(A)</t>
    </r>
    <r>
      <rPr>
        <sz val="7"/>
        <rFont val="Calibri"/>
        <family val="2"/>
        <scheme val="minor"/>
      </rPr>
      <t>Términos orgánicos (% Org.) Excluye los efectos de fusiones y adquisiciones significativas en los últimos doce meses.   Incluye los resultados de Coca-Cola FEMSA Philippines Inc., como si la operación se hubiese consolidado en el 2016.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</si>
</sst>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43" formatCode="_-* #,##0.00_-;\-* #,##0.00_-;_-* &quot;-&quot;??_-;_-@_-"/>
    <numFmt numFmtId="164" formatCode="&quot;$&quot;#,##0.00_);[Red]\(&quot;$&quot;#,##0.0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  <numFmt numFmtId="168" formatCode="0.0%"/>
    <numFmt numFmtId="169" formatCode="_(* #,##0.0000_);_(* \(#,##0.0000\);_(* &quot;-&quot;??_);_(@_)"/>
    <numFmt numFmtId="170" formatCode="0.0"/>
    <numFmt numFmtId="171" formatCode="_(* ###0_);_(* \(###0\);_(* &quot;-&quot;??_);_(@_)"/>
    <numFmt numFmtId="172" formatCode="_(* #,##0.000_);_(* \(#,##0.000\);_(* &quot;-&quot;??_);_(@_)"/>
    <numFmt numFmtId="173" formatCode="#,##0.0_);\(#,##0.0\)"/>
    <numFmt numFmtId="174" formatCode="_-* #,##0.0_-;\-* #,##0.0_-;_-* &quot;-&quot;??_-;_-@_-"/>
    <numFmt numFmtId="175" formatCode="&quot;N$&quot;#,##0_);[Red]\(&quot;N$&quot;#,##0\)"/>
    <numFmt numFmtId="176" formatCode="_-* #,##0_-;\-* #,##0_-;_-* &quot;-&quot;??_-;_-@_-"/>
    <numFmt numFmtId="177" formatCode="mmmm\-yy"/>
    <numFmt numFmtId="178" formatCode="_-* #,##0.000_-;\-* #,##0.000_-;_-* &quot;-&quot;??_-;_-@_-"/>
    <numFmt numFmtId="179" formatCode="#,##0;\(#,##0\)\ "/>
    <numFmt numFmtId="180" formatCode="#,##0.0;\-#,##0.0"/>
    <numFmt numFmtId="181" formatCode="[$-409]mmm\-yy;@"/>
  </numFmts>
  <fonts count="94">
    <font>
      <sz val="10"/>
      <name val="Arial"/>
    </font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b/>
      <sz val="12"/>
      <color theme="0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b/>
      <sz val="11"/>
      <name val="Arial Narrow"/>
      <family val="2"/>
    </font>
    <font>
      <sz val="10"/>
      <name val="MS Sans"/>
    </font>
    <font>
      <vertAlign val="superscript"/>
      <sz val="11"/>
      <color indexed="8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6"/>
      <name val="Arial Narrow"/>
      <family val="2"/>
    </font>
    <font>
      <sz val="12"/>
      <color indexed="8"/>
      <name val="Arial Narrow"/>
      <family val="2"/>
    </font>
    <font>
      <b/>
      <vertAlign val="superscript"/>
      <sz val="10.1"/>
      <color indexed="8"/>
      <name val="Arial Narrow"/>
      <family val="2"/>
    </font>
    <font>
      <sz val="12"/>
      <color rgb="FFFF0000"/>
      <name val="Arial Narrow"/>
      <family val="2"/>
    </font>
    <font>
      <b/>
      <sz val="12"/>
      <color theme="1"/>
      <name val="Arial Narrow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ourier"/>
      <family val="3"/>
    </font>
    <font>
      <b/>
      <sz val="8"/>
      <color indexed="8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sz val="8"/>
      <color indexed="12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i/>
      <sz val="8"/>
      <color indexed="1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rgb="FF393943"/>
      <name val="Calibri"/>
      <family val="2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8"/>
      <color indexed="10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7"/>
      <color indexed="8"/>
      <name val="Calibri"/>
      <family val="2"/>
      <scheme val="minor"/>
    </font>
    <font>
      <sz val="7"/>
      <color indexed="10"/>
      <name val="Calibri"/>
      <family val="2"/>
      <scheme val="minor"/>
    </font>
    <font>
      <b/>
      <sz val="8"/>
      <color theme="0" tint="-0.14999847407452621"/>
      <name val="Calibri"/>
      <family val="2"/>
      <scheme val="minor"/>
    </font>
    <font>
      <b/>
      <i/>
      <sz val="8"/>
      <name val="Calibri"/>
      <family val="2"/>
      <scheme val="minor"/>
    </font>
    <font>
      <sz val="8"/>
      <color indexed="9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b/>
      <sz val="8"/>
      <color rgb="FF393943"/>
      <name val="Calibri"/>
      <family val="2"/>
    </font>
    <font>
      <b/>
      <vertAlign val="superscript"/>
      <sz val="8.8000000000000007"/>
      <color rgb="FF393943"/>
      <name val="Calibri"/>
      <family val="2"/>
    </font>
    <font>
      <b/>
      <i/>
      <sz val="8"/>
      <color rgb="FF850026"/>
      <name val="Calibri"/>
      <family val="2"/>
      <scheme val="minor"/>
    </font>
    <font>
      <vertAlign val="superscript"/>
      <sz val="10"/>
      <name val="Calibri"/>
      <family val="2"/>
      <scheme val="minor"/>
    </font>
    <font>
      <vertAlign val="superscript"/>
      <sz val="7"/>
      <name val="Calibri"/>
      <family val="2"/>
    </font>
    <font>
      <sz val="8"/>
      <name val="Arial Narrow"/>
      <family val="2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</borders>
  <cellStyleXfs count="55">
    <xf numFmtId="0" fontId="0" fillId="0" borderId="0"/>
    <xf numFmtId="165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40" fontId="9" fillId="0" borderId="0" applyFont="0" applyFill="0" applyBorder="0" applyAlignment="0" applyProtection="0"/>
    <xf numFmtId="38" fontId="8" fillId="0" borderId="0" applyFont="0" applyFill="0" applyBorder="0" applyAlignment="0" applyProtection="0"/>
    <xf numFmtId="4" fontId="20" fillId="0" borderId="0" applyFont="0" applyFill="0" applyBorder="0" applyAlignment="0" applyProtection="0"/>
    <xf numFmtId="175" fontId="9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5" applyNumberFormat="0" applyFill="0" applyAlignment="0" applyProtection="0"/>
    <xf numFmtId="0" fontId="36" fillId="0" borderId="6" applyNumberFormat="0" applyFill="0" applyAlignment="0" applyProtection="0"/>
    <xf numFmtId="0" fontId="37" fillId="0" borderId="7" applyNumberFormat="0" applyFill="0" applyAlignment="0" applyProtection="0"/>
    <xf numFmtId="0" fontId="37" fillId="0" borderId="0" applyNumberFormat="0" applyFill="0" applyBorder="0" applyAlignment="0" applyProtection="0"/>
    <xf numFmtId="0" fontId="38" fillId="6" borderId="0" applyNumberFormat="0" applyBorder="0" applyAlignment="0" applyProtection="0"/>
    <xf numFmtId="0" fontId="39" fillId="7" borderId="0" applyNumberFormat="0" applyBorder="0" applyAlignment="0" applyProtection="0"/>
    <xf numFmtId="0" fontId="40" fillId="8" borderId="0" applyNumberFormat="0" applyBorder="0" applyAlignment="0" applyProtection="0"/>
    <xf numFmtId="0" fontId="41" fillId="9" borderId="8" applyNumberFormat="0" applyAlignment="0" applyProtection="0"/>
    <xf numFmtId="0" fontId="42" fillId="10" borderId="9" applyNumberFormat="0" applyAlignment="0" applyProtection="0"/>
    <xf numFmtId="0" fontId="43" fillId="10" borderId="8" applyNumberFormat="0" applyAlignment="0" applyProtection="0"/>
    <xf numFmtId="0" fontId="44" fillId="0" borderId="10" applyNumberFormat="0" applyFill="0" applyAlignment="0" applyProtection="0"/>
    <xf numFmtId="0" fontId="45" fillId="11" borderId="11" applyNumberFormat="0" applyAlignment="0" applyProtection="0"/>
    <xf numFmtId="0" fontId="46" fillId="0" borderId="0" applyNumberFormat="0" applyFill="0" applyBorder="0" applyAlignment="0" applyProtection="0"/>
    <xf numFmtId="0" fontId="33" fillId="12" borderId="12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13" applyNumberFormat="0" applyFill="0" applyAlignment="0" applyProtection="0"/>
    <xf numFmtId="0" fontId="4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3" fontId="50" fillId="0" borderId="0"/>
  </cellStyleXfs>
  <cellXfs count="1002">
    <xf numFmtId="0" fontId="0" fillId="0" borderId="0" xfId="0"/>
    <xf numFmtId="0" fontId="3" fillId="2" borderId="0" xfId="0" applyFont="1" applyFill="1" applyBorder="1"/>
    <xf numFmtId="0" fontId="4" fillId="2" borderId="0" xfId="0" applyFont="1" applyFill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4" fillId="2" borderId="0" xfId="0" applyFont="1" applyFill="1" applyBorder="1"/>
    <xf numFmtId="0" fontId="3" fillId="2" borderId="0" xfId="0" applyFont="1" applyFill="1" applyAlignment="1">
      <alignment horizontal="centerContinuous" vertical="center"/>
    </xf>
    <xf numFmtId="0" fontId="3" fillId="2" borderId="0" xfId="0" applyFont="1" applyFill="1" applyBorder="1" applyAlignment="1">
      <alignment horizontal="centerContinuous" vertical="center"/>
    </xf>
    <xf numFmtId="166" fontId="5" fillId="2" borderId="0" xfId="0" applyNumberFormat="1" applyFont="1" applyFill="1" applyBorder="1" applyAlignment="1">
      <alignment horizontal="centerContinuous" vertical="center"/>
    </xf>
    <xf numFmtId="167" fontId="5" fillId="2" borderId="0" xfId="1" applyNumberFormat="1" applyFont="1" applyFill="1" applyBorder="1" applyAlignment="1">
      <alignment horizontal="centerContinuous" vertical="center"/>
    </xf>
    <xf numFmtId="0" fontId="3" fillId="2" borderId="0" xfId="3" quotePrefix="1" applyFont="1" applyFill="1" applyBorder="1" applyAlignment="1">
      <alignment horizontal="left"/>
    </xf>
    <xf numFmtId="0" fontId="3" fillId="2" borderId="0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left"/>
    </xf>
    <xf numFmtId="0" fontId="3" fillId="2" borderId="0" xfId="3" applyFont="1" applyFill="1" applyBorder="1" applyAlignment="1">
      <alignment horizontal="left"/>
    </xf>
    <xf numFmtId="0" fontId="5" fillId="2" borderId="2" xfId="0" applyFont="1" applyFill="1" applyBorder="1" applyAlignment="1">
      <alignment horizontal="right"/>
    </xf>
    <xf numFmtId="0" fontId="10" fillId="2" borderId="2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11" fillId="2" borderId="0" xfId="0" applyFont="1" applyFill="1" applyBorder="1"/>
    <xf numFmtId="166" fontId="4" fillId="2" borderId="0" xfId="0" applyNumberFormat="1" applyFont="1" applyFill="1"/>
    <xf numFmtId="0" fontId="12" fillId="2" borderId="0" xfId="0" quotePrefix="1" applyFont="1" applyFill="1" applyBorder="1" applyAlignment="1">
      <alignment horizontal="left"/>
    </xf>
    <xf numFmtId="166" fontId="5" fillId="2" borderId="0" xfId="1" quotePrefix="1" applyNumberFormat="1" applyFont="1" applyFill="1" applyBorder="1" applyAlignment="1">
      <alignment horizontal="left"/>
    </xf>
    <xf numFmtId="167" fontId="12" fillId="2" borderId="0" xfId="1" applyNumberFormat="1" applyFont="1" applyFill="1" applyBorder="1"/>
    <xf numFmtId="167" fontId="5" fillId="2" borderId="0" xfId="1" applyNumberFormat="1" applyFont="1" applyFill="1" applyBorder="1"/>
    <xf numFmtId="0" fontId="12" fillId="2" borderId="0" xfId="0" applyFont="1" applyFill="1" applyBorder="1"/>
    <xf numFmtId="166" fontId="12" fillId="2" borderId="0" xfId="1" applyNumberFormat="1" applyFont="1" applyFill="1" applyBorder="1"/>
    <xf numFmtId="0" fontId="12" fillId="2" borderId="1" xfId="0" quotePrefix="1" applyFont="1" applyFill="1" applyBorder="1" applyAlignment="1">
      <alignment horizontal="left"/>
    </xf>
    <xf numFmtId="166" fontId="5" fillId="2" borderId="1" xfId="1" quotePrefix="1" applyNumberFormat="1" applyFont="1" applyFill="1" applyBorder="1" applyAlignment="1">
      <alignment horizontal="left"/>
    </xf>
    <xf numFmtId="167" fontId="12" fillId="2" borderId="1" xfId="1" applyNumberFormat="1" applyFont="1" applyFill="1" applyBorder="1"/>
    <xf numFmtId="167" fontId="12" fillId="2" borderId="0" xfId="1" applyNumberFormat="1" applyFont="1" applyFill="1"/>
    <xf numFmtId="166" fontId="3" fillId="2" borderId="0" xfId="1" applyNumberFormat="1" applyFont="1" applyFill="1" applyBorder="1"/>
    <xf numFmtId="167" fontId="4" fillId="2" borderId="0" xfId="1" applyNumberFormat="1" applyFont="1" applyFill="1" applyBorder="1"/>
    <xf numFmtId="167" fontId="4" fillId="2" borderId="0" xfId="1" applyNumberFormat="1" applyFont="1" applyFill="1" applyBorder="1" applyAlignment="1">
      <alignment horizontal="right"/>
    </xf>
    <xf numFmtId="0" fontId="12" fillId="2" borderId="1" xfId="0" applyFont="1" applyFill="1" applyBorder="1"/>
    <xf numFmtId="167" fontId="4" fillId="2" borderId="1" xfId="1" applyNumberFormat="1" applyFont="1" applyFill="1" applyBorder="1"/>
    <xf numFmtId="167" fontId="4" fillId="2" borderId="1" xfId="1" applyNumberFormat="1" applyFont="1" applyFill="1" applyBorder="1" applyAlignment="1">
      <alignment horizontal="right"/>
    </xf>
    <xf numFmtId="166" fontId="3" fillId="2" borderId="2" xfId="1" applyNumberFormat="1" applyFont="1" applyFill="1" applyBorder="1"/>
    <xf numFmtId="167" fontId="13" fillId="2" borderId="0" xfId="1" applyNumberFormat="1" applyFont="1" applyFill="1" applyBorder="1"/>
    <xf numFmtId="166" fontId="3" fillId="2" borderId="1" xfId="1" applyNumberFormat="1" applyFont="1" applyFill="1" applyBorder="1"/>
    <xf numFmtId="166" fontId="12" fillId="2" borderId="0" xfId="1" applyNumberFormat="1" applyFont="1" applyFill="1" applyBorder="1" applyAlignment="1">
      <alignment horizontal="right"/>
    </xf>
    <xf numFmtId="0" fontId="4" fillId="2" borderId="0" xfId="1" applyNumberFormat="1" applyFont="1" applyFill="1" applyBorder="1"/>
    <xf numFmtId="166" fontId="4" fillId="2" borderId="0" xfId="1" applyNumberFormat="1" applyFont="1" applyFill="1" applyBorder="1"/>
    <xf numFmtId="0" fontId="12" fillId="2" borderId="2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167" fontId="4" fillId="2" borderId="2" xfId="1" applyNumberFormat="1" applyFont="1" applyFill="1" applyBorder="1"/>
    <xf numFmtId="0" fontId="12" fillId="2" borderId="1" xfId="0" applyFont="1" applyFill="1" applyBorder="1" applyAlignment="1">
      <alignment horizontal="left"/>
    </xf>
    <xf numFmtId="166" fontId="3" fillId="2" borderId="1" xfId="1" quotePrefix="1" applyNumberFormat="1" applyFont="1" applyFill="1" applyBorder="1" applyAlignment="1">
      <alignment horizontal="left"/>
    </xf>
    <xf numFmtId="166" fontId="3" fillId="2" borderId="0" xfId="1" quotePrefix="1" applyNumberFormat="1" applyFont="1" applyFill="1" applyBorder="1" applyAlignment="1">
      <alignment horizontal="left"/>
    </xf>
    <xf numFmtId="166" fontId="5" fillId="2" borderId="0" xfId="0" applyNumberFormat="1" applyFont="1" applyFill="1" applyBorder="1" applyAlignment="1">
      <alignment horizontal="center"/>
    </xf>
    <xf numFmtId="166" fontId="4" fillId="2" borderId="1" xfId="1" applyNumberFormat="1" applyFont="1" applyFill="1" applyBorder="1"/>
    <xf numFmtId="9" fontId="14" fillId="2" borderId="0" xfId="2" applyFont="1" applyFill="1" applyBorder="1"/>
    <xf numFmtId="166" fontId="5" fillId="2" borderId="0" xfId="1" applyNumberFormat="1" applyFont="1" applyFill="1" applyBorder="1"/>
    <xf numFmtId="168" fontId="5" fillId="2" borderId="0" xfId="2" applyNumberFormat="1" applyFont="1" applyFill="1" applyBorder="1"/>
    <xf numFmtId="168" fontId="12" fillId="2" borderId="0" xfId="2" applyNumberFormat="1" applyFont="1" applyFill="1" applyBorder="1"/>
    <xf numFmtId="168" fontId="3" fillId="2" borderId="0" xfId="2" applyNumberFormat="1" applyFont="1" applyFill="1"/>
    <xf numFmtId="0" fontId="16" fillId="2" borderId="0" xfId="0" applyFont="1" applyFill="1" applyBorder="1"/>
    <xf numFmtId="0" fontId="11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5" fillId="2" borderId="0" xfId="0" applyFont="1" applyFill="1" applyBorder="1"/>
    <xf numFmtId="0" fontId="3" fillId="2" borderId="0" xfId="0" applyFont="1" applyFill="1" applyBorder="1" applyAlignment="1">
      <alignment horizontal="right"/>
    </xf>
    <xf numFmtId="170" fontId="4" fillId="2" borderId="0" xfId="0" applyNumberFormat="1" applyFont="1" applyFill="1"/>
    <xf numFmtId="0" fontId="5" fillId="2" borderId="0" xfId="0" quotePrefix="1" applyFont="1" applyFill="1" applyBorder="1" applyAlignment="1">
      <alignment horizontal="right"/>
    </xf>
    <xf numFmtId="0" fontId="12" fillId="2" borderId="0" xfId="0" applyFont="1" applyFill="1"/>
    <xf numFmtId="166" fontId="3" fillId="2" borderId="0" xfId="1" applyNumberFormat="1" applyFont="1" applyFill="1" applyBorder="1" applyAlignment="1">
      <alignment horizontal="right"/>
    </xf>
    <xf numFmtId="166" fontId="4" fillId="2" borderId="0" xfId="0" applyNumberFormat="1" applyFont="1" applyFill="1" applyBorder="1"/>
    <xf numFmtId="0" fontId="12" fillId="2" borderId="3" xfId="0" applyFont="1" applyFill="1" applyBorder="1"/>
    <xf numFmtId="166" fontId="3" fillId="2" borderId="3" xfId="1" applyNumberFormat="1" applyFont="1" applyFill="1" applyBorder="1" applyAlignment="1">
      <alignment horizontal="right"/>
    </xf>
    <xf numFmtId="170" fontId="4" fillId="2" borderId="3" xfId="0" applyNumberFormat="1" applyFont="1" applyFill="1" applyBorder="1"/>
    <xf numFmtId="166" fontId="3" fillId="3" borderId="1" xfId="1" applyNumberFormat="1" applyFont="1" applyFill="1" applyBorder="1" applyAlignment="1">
      <alignment horizontal="right"/>
    </xf>
    <xf numFmtId="166" fontId="17" fillId="2" borderId="0" xfId="1" applyNumberFormat="1" applyFont="1" applyFill="1" applyBorder="1" applyAlignment="1">
      <alignment horizontal="right"/>
    </xf>
    <xf numFmtId="0" fontId="14" fillId="2" borderId="0" xfId="0" applyFont="1" applyFill="1"/>
    <xf numFmtId="0" fontId="14" fillId="2" borderId="0" xfId="0" applyFont="1" applyFill="1" applyBorder="1"/>
    <xf numFmtId="0" fontId="4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4" fillId="3" borderId="0" xfId="0" applyFont="1" applyFill="1"/>
    <xf numFmtId="0" fontId="4" fillId="3" borderId="0" xfId="0" applyFont="1" applyFill="1" applyBorder="1"/>
    <xf numFmtId="0" fontId="15" fillId="2" borderId="0" xfId="0" applyFont="1" applyFill="1"/>
    <xf numFmtId="0" fontId="4" fillId="2" borderId="0" xfId="3" applyFont="1" applyFill="1" applyBorder="1"/>
    <xf numFmtId="0" fontId="19" fillId="2" borderId="2" xfId="3" applyFont="1" applyFill="1" applyBorder="1" applyAlignment="1">
      <alignment horizontal="center"/>
    </xf>
    <xf numFmtId="37" fontId="3" fillId="2" borderId="1" xfId="4" applyNumberFormat="1" applyFont="1" applyFill="1" applyBorder="1"/>
    <xf numFmtId="0" fontId="4" fillId="2" borderId="1" xfId="3" applyFont="1" applyFill="1" applyBorder="1"/>
    <xf numFmtId="0" fontId="4" fillId="2" borderId="0" xfId="0" applyFont="1" applyFill="1" applyBorder="1" applyAlignment="1">
      <alignment horizontal="centerContinuous"/>
    </xf>
    <xf numFmtId="168" fontId="4" fillId="2" borderId="0" xfId="2" applyNumberFormat="1" applyFont="1" applyFill="1" applyBorder="1"/>
    <xf numFmtId="0" fontId="3" fillId="2" borderId="0" xfId="0" applyFont="1" applyFill="1"/>
    <xf numFmtId="167" fontId="4" fillId="2" borderId="0" xfId="1" applyNumberFormat="1" applyFont="1" applyFill="1"/>
    <xf numFmtId="167" fontId="4" fillId="2" borderId="3" xfId="1" applyNumberFormat="1" applyFont="1" applyFill="1" applyBorder="1"/>
    <xf numFmtId="167" fontId="4" fillId="3" borderId="0" xfId="1" applyNumberFormat="1" applyFont="1" applyFill="1" applyBorder="1"/>
    <xf numFmtId="168" fontId="4" fillId="3" borderId="0" xfId="2" applyNumberFormat="1" applyFont="1" applyFill="1" applyBorder="1"/>
    <xf numFmtId="0" fontId="5" fillId="2" borderId="2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3" fillId="2" borderId="0" xfId="9" applyFont="1" applyFill="1" applyBorder="1"/>
    <xf numFmtId="0" fontId="4" fillId="2" borderId="0" xfId="9" applyFont="1" applyFill="1"/>
    <xf numFmtId="0" fontId="5" fillId="2" borderId="0" xfId="9" applyFont="1" applyFill="1" applyBorder="1" applyAlignment="1">
      <alignment horizontal="left"/>
    </xf>
    <xf numFmtId="0" fontId="5" fillId="2" borderId="0" xfId="9" applyFont="1" applyFill="1" applyBorder="1" applyAlignment="1">
      <alignment horizontal="centerContinuous"/>
    </xf>
    <xf numFmtId="0" fontId="4" fillId="2" borderId="0" xfId="9" applyFont="1" applyFill="1" applyAlignment="1">
      <alignment horizontal="centerContinuous"/>
    </xf>
    <xf numFmtId="0" fontId="4" fillId="2" borderId="0" xfId="9" applyFont="1" applyFill="1" applyBorder="1"/>
    <xf numFmtId="166" fontId="4" fillId="2" borderId="0" xfId="1" applyNumberFormat="1" applyFont="1" applyFill="1"/>
    <xf numFmtId="0" fontId="3" fillId="2" borderId="0" xfId="9" applyFont="1" applyFill="1" applyAlignment="1">
      <alignment horizontal="centerContinuous" vertical="center"/>
    </xf>
    <xf numFmtId="166" fontId="5" fillId="2" borderId="0" xfId="9" applyNumberFormat="1" applyFont="1" applyFill="1" applyBorder="1" applyAlignment="1">
      <alignment horizontal="centerContinuous" vertical="center"/>
    </xf>
    <xf numFmtId="0" fontId="3" fillId="2" borderId="0" xfId="9" applyFont="1" applyFill="1" applyBorder="1" applyAlignment="1">
      <alignment horizontal="centerContinuous" vertical="center"/>
    </xf>
    <xf numFmtId="0" fontId="11" fillId="2" borderId="1" xfId="9" applyFont="1" applyFill="1" applyBorder="1"/>
    <xf numFmtId="166" fontId="4" fillId="2" borderId="0" xfId="9" applyNumberFormat="1" applyFont="1" applyFill="1"/>
    <xf numFmtId="0" fontId="12" fillId="2" borderId="1" xfId="9" applyFont="1" applyFill="1" applyBorder="1"/>
    <xf numFmtId="0" fontId="12" fillId="2" borderId="0" xfId="9" applyFont="1" applyFill="1" applyBorder="1"/>
    <xf numFmtId="0" fontId="11" fillId="2" borderId="0" xfId="9" applyFont="1" applyFill="1" applyBorder="1"/>
    <xf numFmtId="0" fontId="4" fillId="3" borderId="0" xfId="9" applyFont="1" applyFill="1" applyBorder="1"/>
    <xf numFmtId="0" fontId="4" fillId="3" borderId="0" xfId="9" applyFont="1" applyFill="1"/>
    <xf numFmtId="0" fontId="19" fillId="2" borderId="0" xfId="9" applyFont="1" applyFill="1" applyAlignment="1"/>
    <xf numFmtId="167" fontId="12" fillId="4" borderId="0" xfId="1" applyNumberFormat="1" applyFont="1" applyFill="1" applyBorder="1"/>
    <xf numFmtId="166" fontId="4" fillId="4" borderId="0" xfId="1" applyNumberFormat="1" applyFont="1" applyFill="1" applyBorder="1"/>
    <xf numFmtId="0" fontId="4" fillId="4" borderId="0" xfId="0" applyFont="1" applyFill="1"/>
    <xf numFmtId="0" fontId="19" fillId="3" borderId="0" xfId="9" applyFont="1" applyFill="1" applyAlignment="1"/>
    <xf numFmtId="0" fontId="12" fillId="3" borderId="0" xfId="0" applyFont="1" applyFill="1" applyBorder="1"/>
    <xf numFmtId="166" fontId="3" fillId="3" borderId="0" xfId="1" applyNumberFormat="1" applyFont="1" applyFill="1" applyBorder="1"/>
    <xf numFmtId="166" fontId="4" fillId="3" borderId="0" xfId="1" applyNumberFormat="1" applyFont="1" applyFill="1" applyBorder="1"/>
    <xf numFmtId="167" fontId="4" fillId="3" borderId="3" xfId="1" applyNumberFormat="1" applyFont="1" applyFill="1" applyBorder="1"/>
    <xf numFmtId="166" fontId="12" fillId="3" borderId="0" xfId="1" applyNumberFormat="1" applyFont="1" applyFill="1" applyBorder="1"/>
    <xf numFmtId="167" fontId="12" fillId="3" borderId="0" xfId="1" applyNumberFormat="1" applyFont="1" applyFill="1" applyBorder="1"/>
    <xf numFmtId="0" fontId="12" fillId="3" borderId="2" xfId="0" applyFont="1" applyFill="1" applyBorder="1"/>
    <xf numFmtId="166" fontId="3" fillId="3" borderId="2" xfId="1" applyNumberFormat="1" applyFont="1" applyFill="1" applyBorder="1"/>
    <xf numFmtId="166" fontId="4" fillId="3" borderId="2" xfId="1" applyNumberFormat="1" applyFont="1" applyFill="1" applyBorder="1"/>
    <xf numFmtId="167" fontId="4" fillId="3" borderId="2" xfId="1" applyNumberFormat="1" applyFont="1" applyFill="1" applyBorder="1"/>
    <xf numFmtId="0" fontId="12" fillId="3" borderId="2" xfId="0" applyFont="1" applyFill="1" applyBorder="1" applyAlignment="1">
      <alignment horizontal="left"/>
    </xf>
    <xf numFmtId="0" fontId="12" fillId="3" borderId="0" xfId="0" applyFont="1" applyFill="1" applyBorder="1" applyAlignment="1">
      <alignment horizontal="left"/>
    </xf>
    <xf numFmtId="0" fontId="15" fillId="3" borderId="0" xfId="9" applyFont="1" applyFill="1" applyAlignment="1"/>
    <xf numFmtId="170" fontId="4" fillId="2" borderId="2" xfId="0" applyNumberFormat="1" applyFont="1" applyFill="1" applyBorder="1"/>
    <xf numFmtId="0" fontId="3" fillId="2" borderId="0" xfId="9" applyFont="1" applyFill="1" applyBorder="1" applyAlignment="1">
      <alignment horizontal="center"/>
    </xf>
    <xf numFmtId="0" fontId="12" fillId="2" borderId="0" xfId="9" quotePrefix="1" applyFont="1" applyFill="1" applyBorder="1" applyAlignment="1">
      <alignment horizontal="left"/>
    </xf>
    <xf numFmtId="0" fontId="12" fillId="2" borderId="1" xfId="9" quotePrefix="1" applyFont="1" applyFill="1" applyBorder="1" applyAlignment="1">
      <alignment horizontal="left"/>
    </xf>
    <xf numFmtId="0" fontId="12" fillId="2" borderId="0" xfId="9" applyFont="1" applyFill="1" applyBorder="1" applyAlignment="1">
      <alignment horizontal="left"/>
    </xf>
    <xf numFmtId="0" fontId="12" fillId="3" borderId="2" xfId="9" applyFont="1" applyFill="1" applyBorder="1" applyAlignment="1">
      <alignment horizontal="left"/>
    </xf>
    <xf numFmtId="0" fontId="12" fillId="3" borderId="0" xfId="9" applyFont="1" applyFill="1" applyBorder="1" applyAlignment="1">
      <alignment horizontal="left"/>
    </xf>
    <xf numFmtId="0" fontId="12" fillId="3" borderId="0" xfId="9" applyFont="1" applyFill="1" applyBorder="1"/>
    <xf numFmtId="0" fontId="12" fillId="3" borderId="2" xfId="9" applyFont="1" applyFill="1" applyBorder="1"/>
    <xf numFmtId="0" fontId="15" fillId="2" borderId="0" xfId="9" applyFont="1" applyFill="1"/>
    <xf numFmtId="0" fontId="5" fillId="2" borderId="1" xfId="9" applyFont="1" applyFill="1" applyBorder="1" applyAlignment="1">
      <alignment horizontal="right"/>
    </xf>
    <xf numFmtId="0" fontId="12" fillId="2" borderId="2" xfId="9" applyFont="1" applyFill="1" applyBorder="1" applyAlignment="1">
      <alignment horizontal="left"/>
    </xf>
    <xf numFmtId="0" fontId="12" fillId="2" borderId="3" xfId="9" applyFont="1" applyFill="1" applyBorder="1"/>
    <xf numFmtId="0" fontId="4" fillId="3" borderId="1" xfId="0" applyFont="1" applyFill="1" applyBorder="1"/>
    <xf numFmtId="167" fontId="5" fillId="3" borderId="1" xfId="1" applyNumberFormat="1" applyFont="1" applyFill="1" applyBorder="1" applyAlignment="1">
      <alignment horizontal="right"/>
    </xf>
    <xf numFmtId="0" fontId="4" fillId="3" borderId="1" xfId="9" applyFont="1" applyFill="1" applyBorder="1"/>
    <xf numFmtId="166" fontId="22" fillId="2" borderId="0" xfId="1" applyNumberFormat="1" applyFont="1" applyFill="1" applyBorder="1"/>
    <xf numFmtId="166" fontId="22" fillId="2" borderId="2" xfId="1" applyNumberFormat="1" applyFont="1" applyFill="1" applyBorder="1"/>
    <xf numFmtId="166" fontId="22" fillId="3" borderId="2" xfId="1" applyNumberFormat="1" applyFont="1" applyFill="1" applyBorder="1"/>
    <xf numFmtId="166" fontId="22" fillId="2" borderId="3" xfId="1" applyNumberFormat="1" applyFont="1" applyFill="1" applyBorder="1" applyAlignment="1">
      <alignment horizontal="right"/>
    </xf>
    <xf numFmtId="166" fontId="23" fillId="2" borderId="2" xfId="1" applyNumberFormat="1" applyFont="1" applyFill="1" applyBorder="1" applyAlignment="1">
      <alignment horizontal="right"/>
    </xf>
    <xf numFmtId="166" fontId="23" fillId="2" borderId="0" xfId="1" applyNumberFormat="1" applyFont="1" applyFill="1" applyBorder="1" applyAlignment="1">
      <alignment horizontal="right"/>
    </xf>
    <xf numFmtId="166" fontId="23" fillId="2" borderId="3" xfId="1" applyNumberFormat="1" applyFont="1" applyFill="1" applyBorder="1" applyAlignment="1">
      <alignment horizontal="right"/>
    </xf>
    <xf numFmtId="166" fontId="22" fillId="2" borderId="1" xfId="1" quotePrefix="1" applyNumberFormat="1" applyFont="1" applyFill="1" applyBorder="1" applyAlignment="1">
      <alignment horizontal="left"/>
    </xf>
    <xf numFmtId="166" fontId="22" fillId="2" borderId="0" xfId="1" quotePrefix="1" applyNumberFormat="1" applyFont="1" applyFill="1" applyBorder="1" applyAlignment="1">
      <alignment horizontal="left"/>
    </xf>
    <xf numFmtId="166" fontId="22" fillId="3" borderId="0" xfId="1" applyNumberFormat="1" applyFont="1" applyFill="1" applyBorder="1"/>
    <xf numFmtId="166" fontId="22" fillId="2" borderId="1" xfId="1" applyNumberFormat="1" applyFont="1" applyFill="1" applyBorder="1"/>
    <xf numFmtId="37" fontId="22" fillId="2" borderId="1" xfId="4" applyNumberFormat="1" applyFont="1" applyFill="1" applyBorder="1"/>
    <xf numFmtId="166" fontId="22" fillId="3" borderId="1" xfId="1" applyNumberFormat="1" applyFont="1" applyFill="1" applyBorder="1" applyAlignment="1">
      <alignment horizontal="right"/>
    </xf>
    <xf numFmtId="166" fontId="22" fillId="2" borderId="0" xfId="2" quotePrefix="1" applyNumberFormat="1" applyFont="1" applyFill="1" applyBorder="1" applyAlignment="1">
      <alignment horizontal="left"/>
    </xf>
    <xf numFmtId="0" fontId="3" fillId="2" borderId="1" xfId="3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3" fillId="2" borderId="0" xfId="1" applyNumberFormat="1" applyFont="1" applyFill="1" applyBorder="1" applyAlignment="1"/>
    <xf numFmtId="166" fontId="5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center"/>
    </xf>
    <xf numFmtId="166" fontId="24" fillId="2" borderId="2" xfId="1" applyNumberFormat="1" applyFont="1" applyFill="1" applyBorder="1" applyAlignment="1">
      <alignment horizontal="right"/>
    </xf>
    <xf numFmtId="166" fontId="24" fillId="3" borderId="1" xfId="1" applyNumberFormat="1" applyFont="1" applyFill="1" applyBorder="1" applyAlignment="1">
      <alignment horizontal="right"/>
    </xf>
    <xf numFmtId="166" fontId="25" fillId="2" borderId="0" xfId="1" applyNumberFormat="1" applyFont="1" applyFill="1" applyBorder="1" applyAlignment="1">
      <alignment horizontal="right"/>
    </xf>
    <xf numFmtId="166" fontId="25" fillId="2" borderId="1" xfId="1" applyNumberFormat="1" applyFont="1" applyFill="1" applyBorder="1" applyAlignment="1">
      <alignment horizontal="right"/>
    </xf>
    <xf numFmtId="166" fontId="25" fillId="3" borderId="2" xfId="1" applyNumberFormat="1" applyFont="1" applyFill="1" applyBorder="1" applyAlignment="1">
      <alignment horizontal="right"/>
    </xf>
    <xf numFmtId="166" fontId="25" fillId="0" borderId="1" xfId="1" applyNumberFormat="1" applyFont="1" applyFill="1" applyBorder="1" applyAlignment="1">
      <alignment horizontal="right"/>
    </xf>
    <xf numFmtId="166" fontId="25" fillId="0" borderId="0" xfId="1" applyNumberFormat="1" applyFont="1" applyFill="1" applyBorder="1" applyAlignment="1">
      <alignment horizontal="right"/>
    </xf>
    <xf numFmtId="166" fontId="25" fillId="3" borderId="0" xfId="1" applyNumberFormat="1" applyFont="1" applyFill="1" applyBorder="1" applyAlignment="1">
      <alignment horizontal="right"/>
    </xf>
    <xf numFmtId="0" fontId="4" fillId="3" borderId="0" xfId="1" applyNumberFormat="1" applyFont="1" applyFill="1" applyBorder="1"/>
    <xf numFmtId="166" fontId="3" fillId="2" borderId="0" xfId="0" applyNumberFormat="1" applyFont="1" applyFill="1"/>
    <xf numFmtId="0" fontId="3" fillId="2" borderId="1" xfId="3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7" fontId="4" fillId="3" borderId="2" xfId="1" applyNumberFormat="1" applyFont="1" applyFill="1" applyBorder="1" applyAlignment="1">
      <alignment horizontal="right"/>
    </xf>
    <xf numFmtId="170" fontId="4" fillId="2" borderId="0" xfId="0" applyNumberFormat="1" applyFont="1" applyFill="1" applyAlignment="1">
      <alignment horizontal="right"/>
    </xf>
    <xf numFmtId="170" fontId="4" fillId="2" borderId="3" xfId="0" applyNumberFormat="1" applyFont="1" applyFill="1" applyBorder="1" applyAlignment="1">
      <alignment horizontal="right"/>
    </xf>
    <xf numFmtId="170" fontId="26" fillId="2" borderId="3" xfId="0" applyNumberFormat="1" applyFont="1" applyFill="1" applyBorder="1" applyAlignment="1">
      <alignment horizontal="right"/>
    </xf>
    <xf numFmtId="166" fontId="27" fillId="2" borderId="0" xfId="1" applyNumberFormat="1" applyFont="1" applyFill="1" applyBorder="1"/>
    <xf numFmtId="166" fontId="27" fillId="3" borderId="2" xfId="1" applyNumberFormat="1" applyFont="1" applyFill="1" applyBorder="1"/>
    <xf numFmtId="166" fontId="27" fillId="3" borderId="0" xfId="1" applyNumberFormat="1" applyFont="1" applyFill="1" applyBorder="1"/>
    <xf numFmtId="166" fontId="27" fillId="2" borderId="3" xfId="1" applyNumberFormat="1" applyFont="1" applyFill="1" applyBorder="1" applyAlignment="1">
      <alignment horizontal="right"/>
    </xf>
    <xf numFmtId="165" fontId="4" fillId="2" borderId="0" xfId="1" applyFont="1" applyFill="1"/>
    <xf numFmtId="0" fontId="10" fillId="2" borderId="0" xfId="0" applyFont="1" applyFill="1" applyBorder="1" applyAlignment="1">
      <alignment horizontal="right"/>
    </xf>
    <xf numFmtId="167" fontId="4" fillId="3" borderId="0" xfId="1" applyNumberFormat="1" applyFont="1" applyFill="1" applyBorder="1" applyAlignment="1">
      <alignment horizontal="right"/>
    </xf>
    <xf numFmtId="170" fontId="26" fillId="2" borderId="0" xfId="0" applyNumberFormat="1" applyFont="1" applyFill="1" applyBorder="1" applyAlignment="1">
      <alignment horizontal="right"/>
    </xf>
    <xf numFmtId="0" fontId="3" fillId="2" borderId="0" xfId="3" applyFont="1" applyFill="1" applyBorder="1" applyAlignment="1">
      <alignment horizontal="center"/>
    </xf>
    <xf numFmtId="0" fontId="28" fillId="2" borderId="0" xfId="3" applyFont="1" applyFill="1" applyBorder="1" applyAlignment="1">
      <alignment horizontal="centerContinuous"/>
    </xf>
    <xf numFmtId="0" fontId="4" fillId="2" borderId="0" xfId="3" applyFont="1" applyFill="1" applyBorder="1" applyAlignment="1">
      <alignment horizontal="centerContinuous"/>
    </xf>
    <xf numFmtId="0" fontId="4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Continuous" vertical="center"/>
    </xf>
    <xf numFmtId="0" fontId="3" fillId="2" borderId="0" xfId="3" quotePrefix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/>
    </xf>
    <xf numFmtId="167" fontId="5" fillId="2" borderId="1" xfId="1" applyNumberFormat="1" applyFont="1" applyFill="1" applyBorder="1"/>
    <xf numFmtId="166" fontId="12" fillId="2" borderId="1" xfId="1" applyNumberFormat="1" applyFont="1" applyFill="1" applyBorder="1"/>
    <xf numFmtId="168" fontId="12" fillId="2" borderId="1" xfId="2" applyNumberFormat="1" applyFont="1" applyFill="1" applyBorder="1"/>
    <xf numFmtId="166" fontId="5" fillId="2" borderId="2" xfId="1" applyNumberFormat="1" applyFont="1" applyFill="1" applyBorder="1"/>
    <xf numFmtId="166" fontId="12" fillId="2" borderId="2" xfId="1" applyNumberFormat="1" applyFont="1" applyFill="1" applyBorder="1"/>
    <xf numFmtId="168" fontId="12" fillId="2" borderId="2" xfId="2" applyNumberFormat="1" applyFont="1" applyFill="1" applyBorder="1"/>
    <xf numFmtId="0" fontId="12" fillId="2" borderId="2" xfId="0" applyFont="1" applyFill="1" applyBorder="1"/>
    <xf numFmtId="167" fontId="5" fillId="2" borderId="2" xfId="1" applyNumberFormat="1" applyFont="1" applyFill="1" applyBorder="1"/>
    <xf numFmtId="166" fontId="3" fillId="2" borderId="2" xfId="0" applyNumberFormat="1" applyFont="1" applyFill="1" applyBorder="1"/>
    <xf numFmtId="168" fontId="12" fillId="2" borderId="0" xfId="2" applyNumberFormat="1" applyFont="1" applyFill="1" applyBorder="1" applyAlignment="1">
      <alignment horizontal="right"/>
    </xf>
    <xf numFmtId="166" fontId="29" fillId="2" borderId="2" xfId="1" applyNumberFormat="1" applyFont="1" applyFill="1" applyBorder="1"/>
    <xf numFmtId="0" fontId="3" fillId="2" borderId="0" xfId="3" applyFont="1" applyFill="1" applyBorder="1" applyAlignment="1"/>
    <xf numFmtId="166" fontId="4" fillId="3" borderId="0" xfId="0" applyNumberFormat="1" applyFont="1" applyFill="1"/>
    <xf numFmtId="166" fontId="4" fillId="3" borderId="0" xfId="9" applyNumberFormat="1" applyFont="1" applyFill="1"/>
    <xf numFmtId="166" fontId="3" fillId="4" borderId="1" xfId="1" quotePrefix="1" applyNumberFormat="1" applyFont="1" applyFill="1" applyBorder="1" applyAlignment="1">
      <alignment horizontal="left"/>
    </xf>
    <xf numFmtId="0" fontId="3" fillId="3" borderId="4" xfId="0" applyFont="1" applyFill="1" applyBorder="1" applyAlignment="1">
      <alignment horizontal="center"/>
    </xf>
    <xf numFmtId="176" fontId="4" fillId="2" borderId="0" xfId="0" applyNumberFormat="1" applyFont="1" applyFill="1"/>
    <xf numFmtId="166" fontId="22" fillId="2" borderId="2" xfId="1" quotePrefix="1" applyNumberFormat="1" applyFont="1" applyFill="1" applyBorder="1" applyAlignment="1">
      <alignment horizontal="left"/>
    </xf>
    <xf numFmtId="167" fontId="5" fillId="2" borderId="0" xfId="1" applyNumberFormat="1" applyFont="1" applyFill="1" applyBorder="1" applyAlignment="1">
      <alignment horizontal="right"/>
    </xf>
    <xf numFmtId="166" fontId="4" fillId="3" borderId="0" xfId="1" applyNumberFormat="1" applyFont="1" applyFill="1"/>
    <xf numFmtId="167" fontId="4" fillId="3" borderId="0" xfId="1" applyNumberFormat="1" applyFont="1" applyFill="1"/>
    <xf numFmtId="166" fontId="4" fillId="5" borderId="0" xfId="0" applyNumberFormat="1" applyFont="1" applyFill="1"/>
    <xf numFmtId="167" fontId="4" fillId="2" borderId="0" xfId="1" applyNumberFormat="1" applyFont="1" applyFill="1" applyBorder="1" applyAlignment="1">
      <alignment horizontal="center"/>
    </xf>
    <xf numFmtId="167" fontId="4" fillId="3" borderId="0" xfId="1" applyNumberFormat="1" applyFont="1" applyFill="1" applyBorder="1" applyAlignment="1">
      <alignment horizontal="center"/>
    </xf>
    <xf numFmtId="167" fontId="4" fillId="3" borderId="2" xfId="1" applyNumberFormat="1" applyFont="1" applyFill="1" applyBorder="1" applyAlignment="1">
      <alignment horizontal="center"/>
    </xf>
    <xf numFmtId="170" fontId="4" fillId="2" borderId="0" xfId="0" applyNumberFormat="1" applyFont="1" applyFill="1" applyAlignment="1">
      <alignment horizontal="center"/>
    </xf>
    <xf numFmtId="37" fontId="4" fillId="3" borderId="0" xfId="0" applyNumberFormat="1" applyFont="1" applyFill="1" applyAlignment="1">
      <alignment horizontal="center"/>
    </xf>
    <xf numFmtId="167" fontId="4" fillId="3" borderId="3" xfId="1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73" fontId="4" fillId="3" borderId="0" xfId="0" applyNumberFormat="1" applyFont="1" applyFill="1" applyAlignment="1">
      <alignment horizontal="right"/>
    </xf>
    <xf numFmtId="165" fontId="31" fillId="2" borderId="0" xfId="1" applyFont="1" applyFill="1" applyAlignment="1">
      <alignment horizontal="centerContinuous"/>
    </xf>
    <xf numFmtId="167" fontId="18" fillId="2" borderId="0" xfId="1" applyNumberFormat="1" applyFont="1" applyFill="1" applyBorder="1" applyAlignment="1">
      <alignment horizontal="center"/>
    </xf>
    <xf numFmtId="172" fontId="18" fillId="2" borderId="0" xfId="1" applyNumberFormat="1" applyFont="1" applyFill="1" applyBorder="1" applyAlignment="1">
      <alignment horizontal="center"/>
    </xf>
    <xf numFmtId="166" fontId="18" fillId="2" borderId="0" xfId="0" applyNumberFormat="1" applyFont="1" applyFill="1" applyBorder="1"/>
    <xf numFmtId="166" fontId="12" fillId="3" borderId="2" xfId="1" applyNumberFormat="1" applyFont="1" applyFill="1" applyBorder="1"/>
    <xf numFmtId="0" fontId="6" fillId="2" borderId="0" xfId="0" applyFont="1" applyFill="1" applyBorder="1" applyAlignment="1"/>
    <xf numFmtId="166" fontId="32" fillId="2" borderId="0" xfId="0" applyNumberFormat="1" applyFont="1" applyFill="1" applyAlignment="1">
      <alignment horizontal="centerContinuous" vertical="center"/>
    </xf>
    <xf numFmtId="166" fontId="4" fillId="2" borderId="3" xfId="1" applyNumberFormat="1" applyFont="1" applyFill="1" applyBorder="1" applyAlignment="1">
      <alignment horizontal="right"/>
    </xf>
    <xf numFmtId="172" fontId="4" fillId="2" borderId="0" xfId="1" applyNumberFormat="1" applyFont="1" applyFill="1" applyBorder="1" applyAlignment="1">
      <alignment horizontal="center"/>
    </xf>
    <xf numFmtId="178" fontId="4" fillId="2" borderId="0" xfId="0" applyNumberFormat="1" applyFont="1" applyFill="1" applyBorder="1"/>
    <xf numFmtId="0" fontId="3" fillId="2" borderId="0" xfId="3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6" fontId="4" fillId="2" borderId="2" xfId="1" applyNumberFormat="1" applyFont="1" applyFill="1" applyBorder="1"/>
    <xf numFmtId="166" fontId="4" fillId="0" borderId="1" xfId="1" applyNumberFormat="1" applyFont="1" applyFill="1" applyBorder="1"/>
    <xf numFmtId="166" fontId="4" fillId="0" borderId="0" xfId="1" applyNumberFormat="1" applyFont="1" applyFill="1" applyBorder="1"/>
    <xf numFmtId="0" fontId="6" fillId="3" borderId="0" xfId="0" applyFont="1" applyFill="1" applyBorder="1" applyAlignment="1"/>
    <xf numFmtId="170" fontId="4" fillId="2" borderId="0" xfId="0" applyNumberFormat="1" applyFont="1" applyFill="1" applyBorder="1" applyAlignment="1">
      <alignment horizontal="center"/>
    </xf>
    <xf numFmtId="37" fontId="4" fillId="3" borderId="0" xfId="0" applyNumberFormat="1" applyFont="1" applyFill="1" applyBorder="1" applyAlignment="1">
      <alignment horizontal="center"/>
    </xf>
    <xf numFmtId="170" fontId="4" fillId="2" borderId="0" xfId="0" applyNumberFormat="1" applyFont="1" applyFill="1" applyBorder="1" applyAlignment="1">
      <alignment horizontal="right"/>
    </xf>
    <xf numFmtId="0" fontId="2" fillId="3" borderId="0" xfId="0" applyFont="1" applyFill="1" applyBorder="1" applyAlignment="1"/>
    <xf numFmtId="166" fontId="4" fillId="2" borderId="0" xfId="9" applyNumberFormat="1" applyFont="1" applyFill="1" applyBorder="1"/>
    <xf numFmtId="1" fontId="4" fillId="2" borderId="0" xfId="0" applyNumberFormat="1" applyFont="1" applyFill="1"/>
    <xf numFmtId="0" fontId="3" fillId="4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68" fontId="4" fillId="3" borderId="0" xfId="2" applyNumberFormat="1" applyFont="1" applyFill="1"/>
    <xf numFmtId="170" fontId="4" fillId="37" borderId="0" xfId="0" applyNumberFormat="1" applyFont="1" applyFill="1"/>
    <xf numFmtId="166" fontId="12" fillId="3" borderId="0" xfId="0" applyNumberFormat="1" applyFont="1" applyFill="1" applyBorder="1"/>
    <xf numFmtId="166" fontId="12" fillId="2" borderId="0" xfId="0" applyNumberFormat="1" applyFont="1" applyFill="1" applyBorder="1"/>
    <xf numFmtId="0" fontId="51" fillId="2" borderId="0" xfId="9" applyFont="1" applyFill="1" applyBorder="1" applyAlignment="1">
      <alignment horizontal="centerContinuous"/>
    </xf>
    <xf numFmtId="0" fontId="52" fillId="2" borderId="0" xfId="9" applyFont="1" applyFill="1" applyBorder="1"/>
    <xf numFmtId="0" fontId="53" fillId="2" borderId="0" xfId="9" applyFont="1" applyFill="1"/>
    <xf numFmtId="0" fontId="51" fillId="2" borderId="0" xfId="9" applyFont="1" applyFill="1" applyBorder="1" applyAlignment="1">
      <alignment horizontal="left"/>
    </xf>
    <xf numFmtId="0" fontId="53" fillId="2" borderId="0" xfId="9" applyFont="1" applyFill="1" applyBorder="1"/>
    <xf numFmtId="0" fontId="53" fillId="2" borderId="0" xfId="9" applyFont="1" applyFill="1" applyAlignment="1">
      <alignment horizontal="centerContinuous"/>
    </xf>
    <xf numFmtId="0" fontId="59" fillId="2" borderId="0" xfId="0" applyFont="1" applyFill="1" applyBorder="1"/>
    <xf numFmtId="0" fontId="54" fillId="2" borderId="0" xfId="9" applyFont="1" applyFill="1" applyBorder="1" applyAlignment="1">
      <alignment horizontal="center"/>
    </xf>
    <xf numFmtId="0" fontId="51" fillId="2" borderId="0" xfId="9" applyFont="1" applyFill="1" applyBorder="1" applyAlignment="1">
      <alignment horizontal="center" vertical="center"/>
    </xf>
    <xf numFmtId="0" fontId="51" fillId="2" borderId="0" xfId="9" applyFont="1" applyFill="1" applyBorder="1" applyAlignment="1">
      <alignment horizontal="centerContinuous" vertical="center"/>
    </xf>
    <xf numFmtId="0" fontId="52" fillId="2" borderId="0" xfId="9" applyFont="1" applyFill="1" applyBorder="1" applyAlignment="1">
      <alignment vertical="center"/>
    </xf>
    <xf numFmtId="0" fontId="53" fillId="2" borderId="0" xfId="9" applyFont="1" applyFill="1" applyAlignment="1">
      <alignment vertical="center"/>
    </xf>
    <xf numFmtId="0" fontId="51" fillId="2" borderId="0" xfId="9" applyFont="1" applyFill="1" applyBorder="1" applyAlignment="1">
      <alignment horizontal="left" vertical="center"/>
    </xf>
    <xf numFmtId="0" fontId="53" fillId="2" borderId="0" xfId="9" applyFont="1" applyFill="1" applyBorder="1" applyAlignment="1">
      <alignment vertical="center"/>
    </xf>
    <xf numFmtId="0" fontId="52" fillId="2" borderId="0" xfId="9" applyFont="1" applyFill="1" applyBorder="1" applyAlignment="1">
      <alignment horizontal="centerContinuous" vertical="center"/>
    </xf>
    <xf numFmtId="0" fontId="53" fillId="2" borderId="0" xfId="9" applyFont="1" applyFill="1" applyAlignment="1">
      <alignment horizontal="centerContinuous" vertical="center"/>
    </xf>
    <xf numFmtId="0" fontId="55" fillId="2" borderId="0" xfId="9" applyFont="1" applyFill="1" applyBorder="1" applyAlignment="1">
      <alignment vertical="center"/>
    </xf>
    <xf numFmtId="0" fontId="56" fillId="2" borderId="0" xfId="9" applyFont="1" applyFill="1" applyBorder="1" applyAlignment="1">
      <alignment vertical="center"/>
    </xf>
    <xf numFmtId="0" fontId="53" fillId="2" borderId="0" xfId="9" applyFont="1" applyFill="1" applyBorder="1" applyAlignment="1">
      <alignment horizontal="left" vertical="center"/>
    </xf>
    <xf numFmtId="0" fontId="59" fillId="2" borderId="0" xfId="0" applyFont="1" applyFill="1" applyBorder="1" applyAlignment="1">
      <alignment vertical="center"/>
    </xf>
    <xf numFmtId="0" fontId="61" fillId="2" borderId="0" xfId="9" applyFont="1" applyFill="1" applyBorder="1" applyAlignment="1">
      <alignment vertical="center"/>
    </xf>
    <xf numFmtId="0" fontId="55" fillId="0" borderId="0" xfId="9" applyFont="1" applyFill="1" applyBorder="1" applyAlignment="1">
      <alignment vertical="center"/>
    </xf>
    <xf numFmtId="0" fontId="53" fillId="2" borderId="0" xfId="9" applyFont="1" applyFill="1" applyAlignment="1">
      <alignment horizontal="left" vertical="center"/>
    </xf>
    <xf numFmtId="167" fontId="53" fillId="2" borderId="0" xfId="1" applyNumberFormat="1" applyFont="1" applyFill="1" applyBorder="1" applyAlignment="1">
      <alignment horizontal="right" vertical="center"/>
    </xf>
    <xf numFmtId="0" fontId="59" fillId="2" borderId="0" xfId="9" applyFont="1" applyFill="1" applyBorder="1" applyAlignment="1">
      <alignment vertical="center"/>
    </xf>
    <xf numFmtId="0" fontId="59" fillId="3" borderId="0" xfId="9" applyFont="1" applyFill="1" applyBorder="1" applyAlignment="1">
      <alignment vertical="center"/>
    </xf>
    <xf numFmtId="0" fontId="55" fillId="2" borderId="0" xfId="9" applyFont="1" applyFill="1" applyBorder="1" applyAlignment="1">
      <alignment horizontal="right" vertical="center"/>
    </xf>
    <xf numFmtId="0" fontId="53" fillId="2" borderId="0" xfId="9" applyFont="1" applyFill="1" applyBorder="1" applyAlignment="1">
      <alignment horizontal="right" vertical="center"/>
    </xf>
    <xf numFmtId="0" fontId="53" fillId="2" borderId="0" xfId="9" applyFont="1" applyFill="1" applyAlignment="1">
      <alignment horizontal="right" vertical="center"/>
    </xf>
    <xf numFmtId="10" fontId="53" fillId="3" borderId="0" xfId="2" applyNumberFormat="1" applyFont="1" applyFill="1" applyBorder="1" applyAlignment="1">
      <alignment horizontal="right" vertical="center"/>
    </xf>
    <xf numFmtId="10" fontId="53" fillId="4" borderId="0" xfId="2" applyNumberFormat="1" applyFont="1" applyFill="1" applyBorder="1" applyAlignment="1">
      <alignment horizontal="right" vertical="center"/>
    </xf>
    <xf numFmtId="165" fontId="53" fillId="3" borderId="0" xfId="1" applyNumberFormat="1" applyFont="1" applyFill="1" applyBorder="1" applyAlignment="1">
      <alignment horizontal="right" vertical="center"/>
    </xf>
    <xf numFmtId="169" fontId="53" fillId="3" borderId="0" xfId="1" applyNumberFormat="1" applyFont="1" applyFill="1" applyBorder="1" applyAlignment="1">
      <alignment horizontal="right" vertical="center"/>
    </xf>
    <xf numFmtId="10" fontId="53" fillId="0" borderId="0" xfId="2" applyNumberFormat="1" applyFont="1" applyFill="1" applyBorder="1" applyAlignment="1">
      <alignment horizontal="right" vertical="center"/>
    </xf>
    <xf numFmtId="169" fontId="53" fillId="0" borderId="0" xfId="1" applyNumberFormat="1" applyFont="1" applyFill="1" applyBorder="1" applyAlignment="1">
      <alignment horizontal="right" vertical="center"/>
    </xf>
    <xf numFmtId="0" fontId="53" fillId="2" borderId="0" xfId="9" applyFont="1" applyFill="1" applyBorder="1" applyAlignment="1">
      <alignment horizontal="left" vertical="center" wrapText="1"/>
    </xf>
    <xf numFmtId="0" fontId="53" fillId="40" borderId="0" xfId="9" applyFont="1" applyFill="1" applyBorder="1" applyAlignment="1">
      <alignment horizontal="left" vertical="center" wrapText="1"/>
    </xf>
    <xf numFmtId="0" fontId="53" fillId="2" borderId="0" xfId="9" applyFont="1" applyFill="1" applyBorder="1" applyAlignment="1">
      <alignment vertical="center" wrapText="1"/>
    </xf>
    <xf numFmtId="0" fontId="53" fillId="40" borderId="0" xfId="9" applyFont="1" applyFill="1" applyBorder="1" applyAlignment="1">
      <alignment vertical="center" wrapText="1"/>
    </xf>
    <xf numFmtId="0" fontId="59" fillId="40" borderId="15" xfId="9" applyFont="1" applyFill="1" applyBorder="1" applyAlignment="1">
      <alignment vertical="center" wrapText="1"/>
    </xf>
    <xf numFmtId="0" fontId="59" fillId="2" borderId="0" xfId="0" applyFont="1" applyFill="1" applyBorder="1" applyAlignment="1">
      <alignment vertical="center" wrapText="1"/>
    </xf>
    <xf numFmtId="0" fontId="55" fillId="2" borderId="0" xfId="9" applyFont="1" applyFill="1" applyBorder="1" applyAlignment="1">
      <alignment vertical="center" wrapText="1"/>
    </xf>
    <xf numFmtId="0" fontId="61" fillId="2" borderId="0" xfId="9" applyFont="1" applyFill="1" applyBorder="1" applyAlignment="1">
      <alignment vertical="center" wrapText="1"/>
    </xf>
    <xf numFmtId="0" fontId="55" fillId="0" borderId="0" xfId="9" applyFont="1" applyFill="1" applyBorder="1" applyAlignment="1">
      <alignment vertical="center" wrapText="1" shrinkToFit="1"/>
    </xf>
    <xf numFmtId="0" fontId="63" fillId="0" borderId="0" xfId="9" applyFont="1" applyFill="1" applyBorder="1" applyAlignment="1">
      <alignment horizontal="center" vertical="center" wrapText="1" shrinkToFit="1"/>
    </xf>
    <xf numFmtId="0" fontId="65" fillId="3" borderId="0" xfId="9" applyFont="1" applyFill="1" applyBorder="1" applyAlignment="1">
      <alignment horizontal="right" vertical="center" wrapText="1" shrinkToFit="1"/>
    </xf>
    <xf numFmtId="0" fontId="65" fillId="0" borderId="0" xfId="9" applyFont="1" applyFill="1" applyBorder="1" applyAlignment="1">
      <alignment horizontal="right" vertical="center" wrapText="1" shrinkToFit="1"/>
    </xf>
    <xf numFmtId="49" fontId="65" fillId="3" borderId="0" xfId="9" applyNumberFormat="1" applyFont="1" applyFill="1" applyBorder="1" applyAlignment="1">
      <alignment horizontal="right" vertical="center" wrapText="1" shrinkToFit="1"/>
    </xf>
    <xf numFmtId="177" fontId="65" fillId="0" borderId="0" xfId="9" applyNumberFormat="1" applyFont="1" applyFill="1" applyBorder="1" applyAlignment="1">
      <alignment horizontal="right" vertical="center" wrapText="1" shrinkToFit="1"/>
    </xf>
    <xf numFmtId="10" fontId="53" fillId="3" borderId="0" xfId="2" applyNumberFormat="1" applyFont="1" applyFill="1" applyBorder="1" applyAlignment="1">
      <alignment horizontal="right" vertical="center" wrapText="1" shrinkToFit="1"/>
    </xf>
    <xf numFmtId="10" fontId="53" fillId="4" borderId="0" xfId="2" applyNumberFormat="1" applyFont="1" applyFill="1" applyBorder="1" applyAlignment="1">
      <alignment horizontal="right" vertical="center" wrapText="1" shrinkToFit="1"/>
    </xf>
    <xf numFmtId="10" fontId="53" fillId="0" borderId="0" xfId="2" applyNumberFormat="1" applyFont="1" applyFill="1" applyBorder="1" applyAlignment="1">
      <alignment horizontal="right" vertical="center" wrapText="1" shrinkToFit="1"/>
    </xf>
    <xf numFmtId="165" fontId="53" fillId="3" borderId="0" xfId="1" applyNumberFormat="1" applyFont="1" applyFill="1" applyBorder="1" applyAlignment="1">
      <alignment horizontal="right" vertical="center" wrapText="1" shrinkToFit="1"/>
    </xf>
    <xf numFmtId="169" fontId="53" fillId="3" borderId="0" xfId="1" applyNumberFormat="1" applyFont="1" applyFill="1" applyBorder="1" applyAlignment="1">
      <alignment horizontal="right" vertical="center" wrapText="1" shrinkToFit="1"/>
    </xf>
    <xf numFmtId="169" fontId="53" fillId="0" borderId="0" xfId="1" applyNumberFormat="1" applyFont="1" applyFill="1" applyBorder="1" applyAlignment="1">
      <alignment horizontal="right" vertical="center" wrapText="1" shrinkToFit="1"/>
    </xf>
    <xf numFmtId="10" fontId="53" fillId="40" borderId="0" xfId="2" applyNumberFormat="1" applyFont="1" applyFill="1" applyBorder="1" applyAlignment="1">
      <alignment horizontal="right" vertical="center" wrapText="1" shrinkToFit="1"/>
    </xf>
    <xf numFmtId="165" fontId="53" fillId="40" borderId="0" xfId="1" applyNumberFormat="1" applyFont="1" applyFill="1" applyBorder="1" applyAlignment="1">
      <alignment horizontal="right" vertical="center" wrapText="1" shrinkToFit="1"/>
    </xf>
    <xf numFmtId="169" fontId="53" fillId="40" borderId="0" xfId="1" applyNumberFormat="1" applyFont="1" applyFill="1" applyBorder="1" applyAlignment="1">
      <alignment horizontal="right" vertical="center" wrapText="1" shrinkToFit="1"/>
    </xf>
    <xf numFmtId="165" fontId="53" fillId="40" borderId="0" xfId="1" applyFont="1" applyFill="1" applyBorder="1" applyAlignment="1">
      <alignment horizontal="right" vertical="center" wrapText="1" shrinkToFit="1"/>
    </xf>
    <xf numFmtId="165" fontId="53" fillId="3" borderId="0" xfId="1" applyFont="1" applyFill="1" applyBorder="1" applyAlignment="1">
      <alignment horizontal="right" vertical="center" wrapText="1" shrinkToFit="1"/>
    </xf>
    <xf numFmtId="0" fontId="53" fillId="2" borderId="0" xfId="9" applyFont="1" applyFill="1" applyBorder="1" applyAlignment="1">
      <alignment horizontal="right" vertical="center" wrapText="1" shrinkToFit="1"/>
    </xf>
    <xf numFmtId="0" fontId="53" fillId="0" borderId="0" xfId="9" applyFont="1" applyFill="1" applyBorder="1" applyAlignment="1">
      <alignment horizontal="right" vertical="center" wrapText="1" shrinkToFit="1"/>
    </xf>
    <xf numFmtId="10" fontId="53" fillId="40" borderId="15" xfId="2" applyNumberFormat="1" applyFont="1" applyFill="1" applyBorder="1" applyAlignment="1">
      <alignment horizontal="right" vertical="center" wrapText="1" shrinkToFit="1"/>
    </xf>
    <xf numFmtId="10" fontId="53" fillId="0" borderId="15" xfId="2" applyNumberFormat="1" applyFont="1" applyFill="1" applyBorder="1" applyAlignment="1">
      <alignment horizontal="right" vertical="center" wrapText="1" shrinkToFit="1"/>
    </xf>
    <xf numFmtId="165" fontId="53" fillId="40" borderId="15" xfId="1" applyNumberFormat="1" applyFont="1" applyFill="1" applyBorder="1" applyAlignment="1">
      <alignment horizontal="right" vertical="center" wrapText="1" shrinkToFit="1"/>
    </xf>
    <xf numFmtId="169" fontId="53" fillId="40" borderId="15" xfId="1" applyNumberFormat="1" applyFont="1" applyFill="1" applyBorder="1" applyAlignment="1">
      <alignment horizontal="right" vertical="center" wrapText="1" shrinkToFit="1"/>
    </xf>
    <xf numFmtId="169" fontId="53" fillId="0" borderId="15" xfId="1" applyNumberFormat="1" applyFont="1" applyFill="1" applyBorder="1" applyAlignment="1">
      <alignment horizontal="right" vertical="center" wrapText="1" shrinkToFit="1"/>
    </xf>
    <xf numFmtId="0" fontId="55" fillId="0" borderId="0" xfId="9" applyFont="1" applyFill="1" applyBorder="1" applyAlignment="1">
      <alignment vertical="center" shrinkToFit="1"/>
    </xf>
    <xf numFmtId="0" fontId="55" fillId="2" borderId="0" xfId="9" applyFont="1" applyFill="1" applyBorder="1" applyAlignment="1">
      <alignment vertical="center" shrinkToFit="1"/>
    </xf>
    <xf numFmtId="0" fontId="61" fillId="2" borderId="0" xfId="9" applyFont="1" applyFill="1" applyBorder="1" applyAlignment="1">
      <alignment vertical="center" shrinkToFit="1"/>
    </xf>
    <xf numFmtId="170" fontId="55" fillId="2" borderId="0" xfId="9" applyNumberFormat="1" applyFont="1" applyFill="1" applyBorder="1" applyAlignment="1">
      <alignment vertical="center" shrinkToFit="1"/>
    </xf>
    <xf numFmtId="0" fontId="53" fillId="2" borderId="0" xfId="0" applyFont="1" applyFill="1"/>
    <xf numFmtId="0" fontId="54" fillId="2" borderId="0" xfId="0" applyFont="1" applyFill="1" applyBorder="1" applyAlignment="1"/>
    <xf numFmtId="0" fontId="54" fillId="3" borderId="0" xfId="0" applyFont="1" applyFill="1" applyBorder="1" applyAlignment="1"/>
    <xf numFmtId="0" fontId="51" fillId="2" borderId="0" xfId="0" applyFont="1" applyFill="1" applyBorder="1" applyAlignment="1">
      <alignment horizontal="centerContinuous"/>
    </xf>
    <xf numFmtId="0" fontId="53" fillId="2" borderId="0" xfId="0" applyFont="1" applyFill="1" applyBorder="1"/>
    <xf numFmtId="0" fontId="52" fillId="2" borderId="0" xfId="0" applyFont="1" applyFill="1" applyAlignment="1">
      <alignment horizontal="centerContinuous" vertical="center"/>
    </xf>
    <xf numFmtId="0" fontId="52" fillId="2" borderId="0" xfId="0" applyFont="1" applyFill="1" applyBorder="1" applyAlignment="1">
      <alignment horizontal="centerContinuous" vertical="center"/>
    </xf>
    <xf numFmtId="166" fontId="64" fillId="2" borderId="0" xfId="0" applyNumberFormat="1" applyFont="1" applyFill="1" applyAlignment="1">
      <alignment horizontal="centerContinuous" vertical="center"/>
    </xf>
    <xf numFmtId="0" fontId="52" fillId="2" borderId="0" xfId="0" applyFont="1" applyFill="1" applyBorder="1" applyAlignment="1">
      <alignment horizontal="center" vertical="center"/>
    </xf>
    <xf numFmtId="167" fontId="51" fillId="2" borderId="0" xfId="1" applyNumberFormat="1" applyFont="1" applyFill="1" applyBorder="1" applyAlignment="1">
      <alignment horizontal="centerContinuous" vertical="center"/>
    </xf>
    <xf numFmtId="0" fontId="52" fillId="2" borderId="0" xfId="3" quotePrefix="1" applyFont="1" applyFill="1" applyBorder="1" applyAlignment="1">
      <alignment horizontal="left"/>
    </xf>
    <xf numFmtId="166" fontId="53" fillId="2" borderId="0" xfId="0" applyNumberFormat="1" applyFont="1" applyFill="1"/>
    <xf numFmtId="0" fontId="59" fillId="2" borderId="0" xfId="0" quotePrefix="1" applyFont="1" applyFill="1" applyBorder="1" applyAlignment="1">
      <alignment horizontal="left"/>
    </xf>
    <xf numFmtId="0" fontId="59" fillId="3" borderId="0" xfId="0" applyFont="1" applyFill="1" applyBorder="1" applyAlignment="1">
      <alignment horizontal="left"/>
    </xf>
    <xf numFmtId="0" fontId="53" fillId="3" borderId="0" xfId="0" applyFont="1" applyFill="1"/>
    <xf numFmtId="0" fontId="53" fillId="3" borderId="0" xfId="0" applyFont="1" applyFill="1" applyBorder="1"/>
    <xf numFmtId="0" fontId="53" fillId="0" borderId="0" xfId="0" applyFont="1" applyFill="1"/>
    <xf numFmtId="10" fontId="53" fillId="0" borderId="0" xfId="2" applyNumberFormat="1" applyFont="1" applyFill="1"/>
    <xf numFmtId="168" fontId="53" fillId="0" borderId="0" xfId="2" applyNumberFormat="1" applyFont="1" applyFill="1"/>
    <xf numFmtId="166" fontId="68" fillId="2" borderId="0" xfId="1" applyNumberFormat="1" applyFont="1" applyFill="1" applyBorder="1"/>
    <xf numFmtId="167" fontId="59" fillId="2" borderId="0" xfId="1" applyNumberFormat="1" applyFont="1" applyFill="1" applyBorder="1"/>
    <xf numFmtId="0" fontId="59" fillId="3" borderId="0" xfId="0" applyFont="1" applyFill="1" applyBorder="1"/>
    <xf numFmtId="0" fontId="55" fillId="3" borderId="0" xfId="0" applyFont="1" applyFill="1" applyBorder="1"/>
    <xf numFmtId="0" fontId="59" fillId="3" borderId="0" xfId="11" applyFont="1" applyFill="1" applyBorder="1"/>
    <xf numFmtId="0" fontId="53" fillId="3" borderId="0" xfId="11" applyFont="1" applyFill="1" applyBorder="1"/>
    <xf numFmtId="166" fontId="53" fillId="3" borderId="0" xfId="1" applyNumberFormat="1" applyFont="1" applyFill="1" applyBorder="1"/>
    <xf numFmtId="167" fontId="59" fillId="2" borderId="0" xfId="1" applyNumberFormat="1" applyFont="1" applyFill="1" applyBorder="1" applyAlignment="1">
      <alignment horizontal="right"/>
    </xf>
    <xf numFmtId="0" fontId="54" fillId="3" borderId="0" xfId="0" applyFont="1" applyFill="1" applyBorder="1" applyAlignment="1">
      <alignment horizontal="center"/>
    </xf>
    <xf numFmtId="0" fontId="54" fillId="2" borderId="0" xfId="0" applyFont="1" applyFill="1" applyBorder="1" applyAlignment="1">
      <alignment horizontal="center"/>
    </xf>
    <xf numFmtId="0" fontId="54" fillId="0" borderId="0" xfId="0" applyFont="1" applyFill="1" applyBorder="1" applyAlignment="1"/>
    <xf numFmtId="166" fontId="53" fillId="2" borderId="0" xfId="0" applyNumberFormat="1" applyFont="1" applyFill="1" applyAlignment="1"/>
    <xf numFmtId="0" fontId="53" fillId="3" borderId="0" xfId="0" applyFont="1" applyFill="1" applyAlignment="1"/>
    <xf numFmtId="0" fontId="51" fillId="3" borderId="0" xfId="11" applyFont="1" applyFill="1" applyBorder="1" applyAlignment="1">
      <alignment vertical="center"/>
    </xf>
    <xf numFmtId="0" fontId="53" fillId="2" borderId="0" xfId="0" applyFont="1" applyFill="1" applyAlignment="1">
      <alignment vertical="center"/>
    </xf>
    <xf numFmtId="0" fontId="54" fillId="2" borderId="0" xfId="0" applyFont="1" applyFill="1" applyBorder="1" applyAlignment="1">
      <alignment vertical="center"/>
    </xf>
    <xf numFmtId="0" fontId="54" fillId="3" borderId="0" xfId="0" applyFont="1" applyFill="1" applyBorder="1" applyAlignment="1">
      <alignment vertical="center"/>
    </xf>
    <xf numFmtId="0" fontId="52" fillId="2" borderId="0" xfId="3" quotePrefix="1" applyFont="1" applyFill="1" applyBorder="1" applyAlignment="1">
      <alignment horizontal="left" vertical="center"/>
    </xf>
    <xf numFmtId="0" fontId="52" fillId="2" borderId="0" xfId="3" applyFont="1" applyFill="1" applyBorder="1" applyAlignment="1">
      <alignment horizontal="center" vertical="center"/>
    </xf>
    <xf numFmtId="0" fontId="51" fillId="2" borderId="0" xfId="0" applyFont="1" applyFill="1" applyBorder="1" applyAlignment="1">
      <alignment horizontal="right" vertical="center"/>
    </xf>
    <xf numFmtId="166" fontId="53" fillId="2" borderId="0" xfId="0" applyNumberFormat="1" applyFont="1" applyFill="1" applyAlignment="1">
      <alignment vertical="center"/>
    </xf>
    <xf numFmtId="167" fontId="53" fillId="2" borderId="0" xfId="1" applyNumberFormat="1" applyFont="1" applyFill="1" applyBorder="1" applyAlignment="1">
      <alignment vertical="center"/>
    </xf>
    <xf numFmtId="0" fontId="53" fillId="2" borderId="0" xfId="0" applyFont="1" applyFill="1" applyBorder="1" applyAlignment="1">
      <alignment vertical="center"/>
    </xf>
    <xf numFmtId="0" fontId="59" fillId="2" borderId="0" xfId="0" quotePrefix="1" applyFont="1" applyFill="1" applyBorder="1" applyAlignment="1">
      <alignment horizontal="left" vertical="center"/>
    </xf>
    <xf numFmtId="0" fontId="59" fillId="3" borderId="0" xfId="0" applyFont="1" applyFill="1" applyBorder="1" applyAlignment="1">
      <alignment horizontal="left" vertical="center"/>
    </xf>
    <xf numFmtId="0" fontId="53" fillId="3" borderId="0" xfId="0" applyFont="1" applyFill="1" applyAlignment="1">
      <alignment vertical="center"/>
    </xf>
    <xf numFmtId="0" fontId="53" fillId="3" borderId="0" xfId="0" applyFont="1" applyFill="1" applyBorder="1" applyAlignment="1">
      <alignment vertical="center"/>
    </xf>
    <xf numFmtId="0" fontId="53" fillId="0" borderId="0" xfId="0" applyFont="1" applyFill="1" applyAlignment="1">
      <alignment vertical="center"/>
    </xf>
    <xf numFmtId="10" fontId="53" fillId="0" borderId="0" xfId="2" applyNumberFormat="1" applyFont="1" applyFill="1" applyAlignment="1">
      <alignment vertical="center"/>
    </xf>
    <xf numFmtId="168" fontId="53" fillId="0" borderId="0" xfId="2" applyNumberFormat="1" applyFont="1" applyFill="1" applyAlignment="1">
      <alignment vertical="center"/>
    </xf>
    <xf numFmtId="167" fontId="59" fillId="2" borderId="0" xfId="1" applyNumberFormat="1" applyFont="1" applyFill="1" applyBorder="1" applyAlignment="1">
      <alignment vertical="center"/>
    </xf>
    <xf numFmtId="0" fontId="59" fillId="3" borderId="0" xfId="0" applyFont="1" applyFill="1" applyBorder="1" applyAlignment="1">
      <alignment vertical="center"/>
    </xf>
    <xf numFmtId="0" fontId="55" fillId="3" borderId="0" xfId="0" applyFont="1" applyFill="1" applyBorder="1" applyAlignment="1">
      <alignment vertical="center"/>
    </xf>
    <xf numFmtId="0" fontId="53" fillId="2" borderId="0" xfId="0" applyFont="1" applyFill="1" applyBorder="1" applyAlignment="1">
      <alignment horizontal="center" vertical="center"/>
    </xf>
    <xf numFmtId="0" fontId="53" fillId="2" borderId="0" xfId="3" applyFont="1" applyFill="1" applyBorder="1" applyAlignment="1">
      <alignment vertical="center" wrapText="1"/>
    </xf>
    <xf numFmtId="167" fontId="59" fillId="2" borderId="0" xfId="1" applyNumberFormat="1" applyFont="1" applyFill="1" applyBorder="1" applyAlignment="1">
      <alignment horizontal="right" vertical="center"/>
    </xf>
    <xf numFmtId="0" fontId="65" fillId="2" borderId="0" xfId="3" applyFont="1" applyFill="1" applyBorder="1" applyAlignment="1">
      <alignment horizontal="right" vertical="center"/>
    </xf>
    <xf numFmtId="0" fontId="65" fillId="2" borderId="0" xfId="0" applyFont="1" applyFill="1" applyBorder="1" applyAlignment="1">
      <alignment horizontal="right" vertical="center"/>
    </xf>
    <xf numFmtId="0" fontId="65" fillId="2" borderId="0" xfId="0" applyFont="1" applyFill="1" applyBorder="1" applyAlignment="1">
      <alignment horizontal="right" vertical="center" wrapText="1"/>
    </xf>
    <xf numFmtId="166" fontId="67" fillId="2" borderId="0" xfId="0" applyNumberFormat="1" applyFont="1" applyFill="1" applyBorder="1" applyAlignment="1">
      <alignment horizontal="right" vertical="center"/>
    </xf>
    <xf numFmtId="0" fontId="67" fillId="2" borderId="0" xfId="0" applyFont="1" applyFill="1" applyBorder="1" applyAlignment="1">
      <alignment horizontal="right" vertical="center"/>
    </xf>
    <xf numFmtId="0" fontId="51" fillId="2" borderId="0" xfId="0" applyFont="1" applyFill="1" applyBorder="1" applyAlignment="1">
      <alignment horizontal="left" vertical="center"/>
    </xf>
    <xf numFmtId="0" fontId="51" fillId="2" borderId="0" xfId="0" applyFont="1" applyFill="1" applyBorder="1" applyAlignment="1">
      <alignment horizontal="center" vertical="center"/>
    </xf>
    <xf numFmtId="0" fontId="52" fillId="2" borderId="0" xfId="3" applyFont="1" applyFill="1" applyBorder="1" applyAlignment="1">
      <alignment vertical="center"/>
    </xf>
    <xf numFmtId="0" fontId="53" fillId="2" borderId="15" xfId="0" applyFont="1" applyFill="1" applyBorder="1" applyAlignment="1">
      <alignment vertical="center"/>
    </xf>
    <xf numFmtId="0" fontId="53" fillId="0" borderId="15" xfId="0" applyFont="1" applyFill="1" applyBorder="1" applyAlignment="1">
      <alignment vertical="center"/>
    </xf>
    <xf numFmtId="0" fontId="65" fillId="2" borderId="0" xfId="3" applyFont="1" applyFill="1" applyBorder="1" applyAlignment="1">
      <alignment horizontal="right" vertical="center" shrinkToFit="1"/>
    </xf>
    <xf numFmtId="0" fontId="59" fillId="2" borderId="0" xfId="0" applyFont="1" applyFill="1" applyBorder="1" applyAlignment="1">
      <alignment horizontal="right" vertical="center" shrinkToFit="1"/>
    </xf>
    <xf numFmtId="0" fontId="53" fillId="2" borderId="0" xfId="0" applyFont="1" applyFill="1" applyBorder="1" applyAlignment="1">
      <alignment horizontal="right" vertical="center" shrinkToFit="1"/>
    </xf>
    <xf numFmtId="0" fontId="59" fillId="2" borderId="0" xfId="0" quotePrefix="1" applyFont="1" applyFill="1" applyBorder="1" applyAlignment="1">
      <alignment horizontal="right" vertical="center" shrinkToFit="1"/>
    </xf>
    <xf numFmtId="0" fontId="59" fillId="3" borderId="0" xfId="0" applyFont="1" applyFill="1" applyBorder="1" applyAlignment="1">
      <alignment horizontal="right" vertical="center" shrinkToFit="1"/>
    </xf>
    <xf numFmtId="0" fontId="53" fillId="0" borderId="15" xfId="0" applyFont="1" applyFill="1" applyBorder="1" applyAlignment="1">
      <alignment horizontal="right" vertical="center" shrinkToFit="1"/>
    </xf>
    <xf numFmtId="0" fontId="65" fillId="2" borderId="0" xfId="3" applyFont="1" applyFill="1" applyBorder="1" applyAlignment="1">
      <alignment horizontal="right" vertical="center" wrapText="1"/>
    </xf>
    <xf numFmtId="0" fontId="59" fillId="40" borderId="16" xfId="0" applyFont="1" applyFill="1" applyBorder="1" applyAlignment="1">
      <alignment vertical="center" wrapText="1"/>
    </xf>
    <xf numFmtId="0" fontId="59" fillId="2" borderId="17" xfId="0" applyFont="1" applyFill="1" applyBorder="1" applyAlignment="1">
      <alignment vertical="center" wrapText="1"/>
    </xf>
    <xf numFmtId="0" fontId="59" fillId="40" borderId="0" xfId="0" applyFont="1" applyFill="1" applyBorder="1" applyAlignment="1">
      <alignment horizontal="left" vertical="center" wrapText="1"/>
    </xf>
    <xf numFmtId="0" fontId="59" fillId="2" borderId="0" xfId="0" applyFont="1" applyFill="1" applyBorder="1" applyAlignment="1">
      <alignment horizontal="left" vertical="center" wrapText="1"/>
    </xf>
    <xf numFmtId="0" fontId="59" fillId="3" borderId="17" xfId="0" applyFont="1" applyFill="1" applyBorder="1" applyAlignment="1">
      <alignment horizontal="left" vertical="center" wrapText="1"/>
    </xf>
    <xf numFmtId="0" fontId="53" fillId="40" borderId="0" xfId="0" applyFont="1" applyFill="1" applyBorder="1" applyAlignment="1">
      <alignment vertical="center" wrapText="1"/>
    </xf>
    <xf numFmtId="0" fontId="59" fillId="2" borderId="16" xfId="0" applyFont="1" applyFill="1" applyBorder="1" applyAlignment="1">
      <alignment vertical="center" wrapText="1"/>
    </xf>
    <xf numFmtId="0" fontId="59" fillId="40" borderId="0" xfId="0" applyFont="1" applyFill="1" applyBorder="1" applyAlignment="1">
      <alignment vertical="center" wrapText="1"/>
    </xf>
    <xf numFmtId="0" fontId="53" fillId="0" borderId="15" xfId="0" applyFont="1" applyFill="1" applyBorder="1" applyAlignment="1">
      <alignment vertical="center" wrapText="1"/>
    </xf>
    <xf numFmtId="0" fontId="52" fillId="2" borderId="0" xfId="9" applyFont="1" applyFill="1" applyAlignment="1">
      <alignment vertical="center" wrapText="1"/>
    </xf>
    <xf numFmtId="0" fontId="58" fillId="39" borderId="0" xfId="0" applyFont="1" applyFill="1" applyBorder="1" applyAlignment="1">
      <alignment horizontal="left" vertical="center" wrapText="1"/>
    </xf>
    <xf numFmtId="0" fontId="51" fillId="40" borderId="0" xfId="0" applyFont="1" applyFill="1" applyBorder="1" applyAlignment="1">
      <alignment vertical="center" wrapText="1"/>
    </xf>
    <xf numFmtId="0" fontId="53" fillId="3" borderId="0" xfId="0" applyFont="1" applyFill="1" applyBorder="1" applyAlignment="1">
      <alignment vertical="center" wrapText="1"/>
    </xf>
    <xf numFmtId="0" fontId="59" fillId="3" borderId="0" xfId="0" quotePrefix="1" applyFont="1" applyFill="1" applyBorder="1" applyAlignment="1">
      <alignment horizontal="left" vertical="center" wrapText="1"/>
    </xf>
    <xf numFmtId="0" fontId="59" fillId="3" borderId="0" xfId="0" applyFont="1" applyFill="1" applyBorder="1" applyAlignment="1">
      <alignment horizontal="left" vertical="center" wrapText="1"/>
    </xf>
    <xf numFmtId="0" fontId="59" fillId="40" borderId="15" xfId="0" applyFont="1" applyFill="1" applyBorder="1" applyAlignment="1">
      <alignment horizontal="left" vertical="center" wrapText="1"/>
    </xf>
    <xf numFmtId="0" fontId="53" fillId="2" borderId="0" xfId="0" applyFont="1" applyFill="1" applyAlignment="1">
      <alignment vertical="center" shrinkToFit="1"/>
    </xf>
    <xf numFmtId="0" fontId="54" fillId="3" borderId="0" xfId="11" applyFont="1" applyFill="1" applyBorder="1" applyAlignment="1">
      <alignment vertical="center"/>
    </xf>
    <xf numFmtId="0" fontId="69" fillId="2" borderId="0" xfId="0" applyFont="1" applyFill="1" applyBorder="1" applyAlignment="1">
      <alignment vertical="center" wrapText="1"/>
    </xf>
    <xf numFmtId="166" fontId="52" fillId="2" borderId="0" xfId="1" applyNumberFormat="1" applyFont="1" applyFill="1" applyBorder="1" applyAlignment="1">
      <alignment horizontal="right" vertical="center" wrapText="1" shrinkToFit="1"/>
    </xf>
    <xf numFmtId="167" fontId="53" fillId="2" borderId="0" xfId="1" applyNumberFormat="1" applyFont="1" applyFill="1" applyBorder="1" applyAlignment="1">
      <alignment horizontal="right" vertical="center" wrapText="1" shrinkToFit="1"/>
    </xf>
    <xf numFmtId="167" fontId="53" fillId="3" borderId="0" xfId="1" applyNumberFormat="1" applyFont="1" applyFill="1" applyBorder="1" applyAlignment="1">
      <alignment horizontal="right" vertical="center" wrapText="1" shrinkToFit="1"/>
    </xf>
    <xf numFmtId="167" fontId="53" fillId="40" borderId="16" xfId="1" applyNumberFormat="1" applyFont="1" applyFill="1" applyBorder="1" applyAlignment="1">
      <alignment horizontal="right" vertical="center" wrapText="1" shrinkToFit="1"/>
    </xf>
    <xf numFmtId="0" fontId="53" fillId="2" borderId="0" xfId="0" applyFont="1" applyFill="1" applyBorder="1" applyAlignment="1">
      <alignment horizontal="right" vertical="center" wrapText="1" shrinkToFit="1"/>
    </xf>
    <xf numFmtId="167" fontId="53" fillId="2" borderId="17" xfId="1" applyNumberFormat="1" applyFont="1" applyFill="1" applyBorder="1" applyAlignment="1">
      <alignment horizontal="right" vertical="center" wrapText="1" shrinkToFit="1"/>
    </xf>
    <xf numFmtId="167" fontId="53" fillId="40" borderId="0" xfId="1" applyNumberFormat="1" applyFont="1" applyFill="1" applyBorder="1" applyAlignment="1">
      <alignment horizontal="right" vertical="center" wrapText="1" shrinkToFit="1"/>
    </xf>
    <xf numFmtId="167" fontId="68" fillId="2" borderId="0" xfId="1" applyNumberFormat="1" applyFont="1" applyFill="1" applyBorder="1" applyAlignment="1">
      <alignment horizontal="right" vertical="center" wrapText="1" shrinkToFit="1"/>
    </xf>
    <xf numFmtId="43" fontId="68" fillId="2" borderId="0" xfId="0" applyNumberFormat="1" applyFont="1" applyFill="1" applyBorder="1" applyAlignment="1">
      <alignment horizontal="right" vertical="center" wrapText="1" shrinkToFit="1"/>
    </xf>
    <xf numFmtId="167" fontId="53" fillId="2" borderId="16" xfId="1" applyNumberFormat="1" applyFont="1" applyFill="1" applyBorder="1" applyAlignment="1">
      <alignment horizontal="right" vertical="center" wrapText="1" shrinkToFit="1"/>
    </xf>
    <xf numFmtId="0" fontId="68" fillId="3" borderId="15" xfId="0" applyFont="1" applyFill="1" applyBorder="1" applyAlignment="1">
      <alignment horizontal="right" vertical="center" wrapText="1" shrinkToFit="1"/>
    </xf>
    <xf numFmtId="167" fontId="53" fillId="3" borderId="15" xfId="1" applyNumberFormat="1" applyFont="1" applyFill="1" applyBorder="1" applyAlignment="1">
      <alignment horizontal="right" vertical="center" wrapText="1" shrinkToFit="1"/>
    </xf>
    <xf numFmtId="0" fontId="53" fillId="3" borderId="0" xfId="0" applyFont="1" applyFill="1" applyBorder="1" applyAlignment="1">
      <alignment horizontal="right" vertical="center" wrapText="1" shrinkToFit="1"/>
    </xf>
    <xf numFmtId="167" fontId="53" fillId="2" borderId="15" xfId="1" applyNumberFormat="1" applyFont="1" applyFill="1" applyBorder="1" applyAlignment="1">
      <alignment horizontal="right" vertical="center" wrapText="1" shrinkToFit="1"/>
    </xf>
    <xf numFmtId="166" fontId="53" fillId="0" borderId="0" xfId="1" applyNumberFormat="1" applyFont="1" applyFill="1" applyBorder="1" applyAlignment="1">
      <alignment horizontal="right" vertical="center" wrapText="1" shrinkToFit="1"/>
    </xf>
    <xf numFmtId="166" fontId="52" fillId="3" borderId="0" xfId="1" applyNumberFormat="1" applyFont="1" applyFill="1" applyBorder="1" applyAlignment="1">
      <alignment horizontal="right" vertical="center" wrapText="1" shrinkToFit="1"/>
    </xf>
    <xf numFmtId="167" fontId="53" fillId="40" borderId="15" xfId="1" applyNumberFormat="1" applyFont="1" applyFill="1" applyBorder="1" applyAlignment="1">
      <alignment horizontal="right" vertical="center" wrapText="1" shrinkToFit="1"/>
    </xf>
    <xf numFmtId="166" fontId="58" fillId="2" borderId="0" xfId="1" applyNumberFormat="1" applyFont="1" applyFill="1" applyBorder="1" applyAlignment="1">
      <alignment horizontal="right" vertical="center" wrapText="1" shrinkToFit="1"/>
    </xf>
    <xf numFmtId="166" fontId="68" fillId="2" borderId="0" xfId="1" applyNumberFormat="1" applyFont="1" applyFill="1" applyBorder="1" applyAlignment="1">
      <alignment horizontal="right" vertical="center" wrapText="1" shrinkToFit="1"/>
    </xf>
    <xf numFmtId="168" fontId="58" fillId="2" borderId="0" xfId="2" applyNumberFormat="1" applyFont="1" applyFill="1" applyBorder="1" applyAlignment="1">
      <alignment horizontal="right" vertical="center" wrapText="1" shrinkToFit="1"/>
    </xf>
    <xf numFmtId="167" fontId="58" fillId="2" borderId="0" xfId="1" applyNumberFormat="1" applyFont="1" applyFill="1" applyBorder="1" applyAlignment="1">
      <alignment horizontal="right" vertical="center" wrapText="1" shrinkToFit="1"/>
    </xf>
    <xf numFmtId="168" fontId="51" fillId="2" borderId="0" xfId="2" applyNumberFormat="1" applyFont="1" applyFill="1" applyBorder="1" applyAlignment="1">
      <alignment horizontal="right" vertical="center" wrapText="1" shrinkToFit="1"/>
    </xf>
    <xf numFmtId="167" fontId="59" fillId="2" borderId="0" xfId="1" applyNumberFormat="1" applyFont="1" applyFill="1" applyBorder="1" applyAlignment="1">
      <alignment horizontal="right" vertical="center" wrapText="1" shrinkToFit="1"/>
    </xf>
    <xf numFmtId="0" fontId="53" fillId="2" borderId="0" xfId="0" applyFont="1" applyFill="1" applyAlignment="1">
      <alignment horizontal="right" vertical="center" wrapText="1" shrinkToFit="1"/>
    </xf>
    <xf numFmtId="0" fontId="51" fillId="2" borderId="0" xfId="0" applyFont="1" applyFill="1" applyBorder="1" applyAlignment="1">
      <alignment horizontal="right" vertical="center" wrapText="1" shrinkToFit="1"/>
    </xf>
    <xf numFmtId="0" fontId="52" fillId="2" borderId="0" xfId="3" applyFont="1" applyFill="1" applyBorder="1" applyAlignment="1">
      <alignment horizontal="right" vertical="center" wrapText="1" shrinkToFit="1"/>
    </xf>
    <xf numFmtId="0" fontId="53" fillId="2" borderId="0" xfId="3" applyFont="1" applyFill="1" applyBorder="1" applyAlignment="1">
      <alignment horizontal="right" vertical="center" wrapText="1" shrinkToFit="1"/>
    </xf>
    <xf numFmtId="166" fontId="51" fillId="2" borderId="0" xfId="0" applyNumberFormat="1" applyFont="1" applyFill="1" applyBorder="1" applyAlignment="1">
      <alignment horizontal="right" vertical="center" wrapText="1" shrinkToFit="1"/>
    </xf>
    <xf numFmtId="0" fontId="52" fillId="40" borderId="0" xfId="0" applyFont="1" applyFill="1" applyAlignment="1">
      <alignment horizontal="right" vertical="center" wrapText="1" shrinkToFit="1"/>
    </xf>
    <xf numFmtId="173" fontId="53" fillId="3" borderId="0" xfId="4" applyNumberFormat="1" applyFont="1" applyFill="1" applyBorder="1" applyAlignment="1">
      <alignment horizontal="right" vertical="center" wrapText="1" shrinkToFit="1"/>
    </xf>
    <xf numFmtId="0" fontId="52" fillId="40" borderId="0" xfId="3" applyFont="1" applyFill="1" applyBorder="1" applyAlignment="1">
      <alignment horizontal="right" vertical="center" wrapText="1" shrinkToFit="1"/>
    </xf>
    <xf numFmtId="167" fontId="52" fillId="40" borderId="0" xfId="1" applyNumberFormat="1" applyFont="1" applyFill="1" applyBorder="1" applyAlignment="1">
      <alignment horizontal="right" vertical="center" wrapText="1" shrinkToFit="1"/>
    </xf>
    <xf numFmtId="0" fontId="53" fillId="3" borderId="0" xfId="0" applyFont="1" applyFill="1" applyAlignment="1">
      <alignment horizontal="right" vertical="center" wrapText="1" shrinkToFit="1"/>
    </xf>
    <xf numFmtId="170" fontId="53" fillId="3" borderId="0" xfId="0" applyNumberFormat="1" applyFont="1" applyFill="1" applyAlignment="1">
      <alignment horizontal="right" vertical="center" wrapText="1" shrinkToFit="1"/>
    </xf>
    <xf numFmtId="37" fontId="52" fillId="40" borderId="0" xfId="0" applyNumberFormat="1" applyFont="1" applyFill="1" applyAlignment="1">
      <alignment horizontal="right" vertical="center" wrapText="1" shrinkToFit="1"/>
    </xf>
    <xf numFmtId="0" fontId="53" fillId="40" borderId="0" xfId="0" applyFont="1" applyFill="1" applyAlignment="1">
      <alignment horizontal="right" vertical="center" wrapText="1" shrinkToFit="1"/>
    </xf>
    <xf numFmtId="0" fontId="53" fillId="40" borderId="0" xfId="0" applyFont="1" applyFill="1" applyBorder="1" applyAlignment="1">
      <alignment horizontal="right" vertical="center" wrapText="1" shrinkToFit="1"/>
    </xf>
    <xf numFmtId="0" fontId="68" fillId="3" borderId="0" xfId="0" applyFont="1" applyFill="1" applyAlignment="1">
      <alignment horizontal="right" vertical="center" wrapText="1" shrinkToFit="1"/>
    </xf>
    <xf numFmtId="0" fontId="68" fillId="3" borderId="0" xfId="3" applyFont="1" applyFill="1" applyBorder="1" applyAlignment="1">
      <alignment horizontal="right" vertical="center" wrapText="1" shrinkToFit="1"/>
    </xf>
    <xf numFmtId="0" fontId="53" fillId="3" borderId="0" xfId="3" applyFont="1" applyFill="1" applyBorder="1" applyAlignment="1">
      <alignment horizontal="right" vertical="center" wrapText="1" shrinkToFit="1"/>
    </xf>
    <xf numFmtId="0" fontId="57" fillId="3" borderId="0" xfId="0" quotePrefix="1" applyFont="1" applyFill="1" applyAlignment="1">
      <alignment horizontal="right" vertical="center" wrapText="1" shrinkToFit="1"/>
    </xf>
    <xf numFmtId="0" fontId="53" fillId="40" borderId="0" xfId="3" applyFont="1" applyFill="1" applyBorder="1" applyAlignment="1">
      <alignment horizontal="right" vertical="center" wrapText="1" shrinkToFit="1"/>
    </xf>
    <xf numFmtId="167" fontId="52" fillId="3" borderId="0" xfId="1" applyNumberFormat="1" applyFont="1" applyFill="1" applyBorder="1" applyAlignment="1">
      <alignment horizontal="right" vertical="center" wrapText="1" shrinkToFit="1"/>
    </xf>
    <xf numFmtId="0" fontId="53" fillId="40" borderId="15" xfId="3" applyFont="1" applyFill="1" applyBorder="1" applyAlignment="1">
      <alignment horizontal="right" vertical="center" wrapText="1" shrinkToFit="1"/>
    </xf>
    <xf numFmtId="0" fontId="52" fillId="2" borderId="0" xfId="0" applyFont="1" applyFill="1" applyAlignment="1">
      <alignment horizontal="centerContinuous" vertical="center" shrinkToFit="1"/>
    </xf>
    <xf numFmtId="166" fontId="64" fillId="2" borderId="0" xfId="0" applyNumberFormat="1" applyFont="1" applyFill="1" applyAlignment="1">
      <alignment horizontal="centerContinuous" vertical="center" shrinkToFit="1"/>
    </xf>
    <xf numFmtId="0" fontId="52" fillId="2" borderId="0" xfId="0" applyFont="1" applyFill="1" applyBorder="1" applyAlignment="1">
      <alignment horizontal="centerContinuous" vertical="center" shrinkToFit="1"/>
    </xf>
    <xf numFmtId="0" fontId="54" fillId="3" borderId="0" xfId="11" applyFont="1" applyFill="1" applyBorder="1" applyAlignment="1">
      <alignment vertical="center" shrinkToFit="1"/>
    </xf>
    <xf numFmtId="0" fontId="53" fillId="2" borderId="0" xfId="0" applyFont="1" applyFill="1" applyBorder="1" applyAlignment="1">
      <alignment vertical="center" shrinkToFit="1"/>
    </xf>
    <xf numFmtId="167" fontId="51" fillId="2" borderId="0" xfId="1" applyNumberFormat="1" applyFont="1" applyFill="1" applyBorder="1" applyAlignment="1">
      <alignment horizontal="centerContinuous" vertical="center" shrinkToFit="1"/>
    </xf>
    <xf numFmtId="0" fontId="69" fillId="2" borderId="0" xfId="0" applyFont="1" applyFill="1" applyBorder="1" applyAlignment="1">
      <alignment vertical="center" shrinkToFit="1"/>
    </xf>
    <xf numFmtId="0" fontId="52" fillId="2" borderId="0" xfId="0" applyFont="1" applyFill="1" applyAlignment="1">
      <alignment horizontal="centerContinuous" vertical="center" wrapText="1"/>
    </xf>
    <xf numFmtId="0" fontId="52" fillId="2" borderId="0" xfId="3" quotePrefix="1" applyFont="1" applyFill="1" applyBorder="1" applyAlignment="1">
      <alignment horizontal="left" vertical="center" wrapText="1"/>
    </xf>
    <xf numFmtId="0" fontId="54" fillId="3" borderId="0" xfId="11" applyFont="1" applyFill="1" applyBorder="1" applyAlignment="1">
      <alignment vertical="center" wrapText="1"/>
    </xf>
    <xf numFmtId="0" fontId="53" fillId="2" borderId="0" xfId="0" applyFont="1" applyFill="1" applyAlignment="1">
      <alignment vertical="center" wrapText="1"/>
    </xf>
    <xf numFmtId="0" fontId="55" fillId="0" borderId="0" xfId="9" applyFont="1" applyFill="1" applyBorder="1" applyAlignment="1">
      <alignment horizontal="right" vertical="center" wrapText="1" shrinkToFit="1"/>
    </xf>
    <xf numFmtId="0" fontId="53" fillId="0" borderId="0" xfId="9" applyFont="1" applyFill="1" applyBorder="1" applyAlignment="1">
      <alignment horizontal="left" vertical="center" wrapText="1" shrinkToFit="1"/>
    </xf>
    <xf numFmtId="0" fontId="53" fillId="0" borderId="0" xfId="9" applyFont="1" applyFill="1" applyBorder="1" applyAlignment="1">
      <alignment vertical="center" wrapText="1" shrinkToFit="1"/>
    </xf>
    <xf numFmtId="0" fontId="59" fillId="0" borderId="15" xfId="9" applyFont="1" applyFill="1" applyBorder="1" applyAlignment="1">
      <alignment vertical="center" wrapText="1" shrinkToFit="1"/>
    </xf>
    <xf numFmtId="0" fontId="65" fillId="2" borderId="0" xfId="0" applyFont="1" applyFill="1" applyBorder="1" applyAlignment="1">
      <alignment horizontal="right" vertical="center" wrapText="1" shrinkToFit="1"/>
    </xf>
    <xf numFmtId="0" fontId="65" fillId="2" borderId="0" xfId="3" applyFont="1" applyFill="1" applyBorder="1" applyAlignment="1">
      <alignment horizontal="right" vertical="center" wrapText="1" shrinkToFit="1"/>
    </xf>
    <xf numFmtId="0" fontId="51" fillId="2" borderId="0" xfId="0" applyFont="1" applyFill="1" applyBorder="1" applyAlignment="1"/>
    <xf numFmtId="0" fontId="51" fillId="2" borderId="0" xfId="0" applyFont="1" applyFill="1" applyBorder="1" applyAlignment="1">
      <alignment horizontal="center"/>
    </xf>
    <xf numFmtId="9" fontId="76" fillId="2" borderId="0" xfId="2" applyFont="1" applyFill="1" applyBorder="1" applyAlignment="1">
      <alignment horizontal="centerContinuous"/>
    </xf>
    <xf numFmtId="9" fontId="53" fillId="3" borderId="0" xfId="2" applyFont="1" applyFill="1" applyBorder="1"/>
    <xf numFmtId="9" fontId="52" fillId="3" borderId="0" xfId="2" applyFont="1" applyFill="1" applyBorder="1"/>
    <xf numFmtId="9" fontId="54" fillId="3" borderId="0" xfId="2" applyFont="1" applyFill="1" applyBorder="1" applyAlignment="1"/>
    <xf numFmtId="9" fontId="53" fillId="2" borderId="0" xfId="2" applyFont="1" applyFill="1" applyBorder="1"/>
    <xf numFmtId="0" fontId="52" fillId="2" borderId="0" xfId="0" applyFont="1" applyFill="1" applyBorder="1" applyAlignment="1">
      <alignment horizontal="right"/>
    </xf>
    <xf numFmtId="0" fontId="65" fillId="2" borderId="0" xfId="3" applyFont="1" applyFill="1" applyBorder="1" applyAlignment="1">
      <alignment horizontal="right"/>
    </xf>
    <xf numFmtId="0" fontId="65" fillId="2" borderId="0" xfId="0" applyFont="1" applyFill="1" applyBorder="1" applyAlignment="1">
      <alignment horizontal="right" wrapText="1"/>
    </xf>
    <xf numFmtId="0" fontId="65" fillId="2" borderId="0" xfId="0" applyFont="1" applyFill="1" applyBorder="1" applyAlignment="1">
      <alignment horizontal="right"/>
    </xf>
    <xf numFmtId="166" fontId="67" fillId="2" borderId="0" xfId="0" applyNumberFormat="1" applyFont="1" applyFill="1" applyBorder="1" applyAlignment="1">
      <alignment horizontal="right"/>
    </xf>
    <xf numFmtId="0" fontId="67" fillId="2" borderId="0" xfId="0" applyFont="1" applyFill="1" applyBorder="1" applyAlignment="1">
      <alignment horizontal="right"/>
    </xf>
    <xf numFmtId="0" fontId="53" fillId="0" borderId="15" xfId="0" applyFont="1" applyFill="1" applyBorder="1"/>
    <xf numFmtId="0" fontId="53" fillId="3" borderId="15" xfId="0" applyFont="1" applyFill="1" applyBorder="1"/>
    <xf numFmtId="0" fontId="70" fillId="2" borderId="0" xfId="3" applyFont="1" applyFill="1" applyBorder="1" applyAlignment="1">
      <alignment vertical="top" wrapText="1"/>
    </xf>
    <xf numFmtId="0" fontId="70" fillId="2" borderId="0" xfId="0" applyFont="1" applyFill="1" applyBorder="1"/>
    <xf numFmtId="167" fontId="53" fillId="2" borderId="0" xfId="1" applyNumberFormat="1" applyFont="1" applyFill="1" applyBorder="1" applyAlignment="1">
      <alignment horizontal="right" wrapText="1" shrinkToFit="1"/>
    </xf>
    <xf numFmtId="167" fontId="53" fillId="40" borderId="16" xfId="1" applyNumberFormat="1" applyFont="1" applyFill="1" applyBorder="1" applyAlignment="1">
      <alignment horizontal="right" wrapText="1" shrinkToFit="1"/>
    </xf>
    <xf numFmtId="167" fontId="53" fillId="2" borderId="17" xfId="1" applyNumberFormat="1" applyFont="1" applyFill="1" applyBorder="1" applyAlignment="1">
      <alignment horizontal="right" wrapText="1" shrinkToFit="1"/>
    </xf>
    <xf numFmtId="167" fontId="53" fillId="40" borderId="0" xfId="1" applyNumberFormat="1" applyFont="1" applyFill="1" applyBorder="1" applyAlignment="1">
      <alignment horizontal="right" wrapText="1" shrinkToFit="1"/>
    </xf>
    <xf numFmtId="167" fontId="53" fillId="3" borderId="16" xfId="1" applyNumberFormat="1" applyFont="1" applyFill="1" applyBorder="1" applyAlignment="1">
      <alignment horizontal="right" wrapText="1" shrinkToFit="1"/>
    </xf>
    <xf numFmtId="166" fontId="53" fillId="0" borderId="0" xfId="1" applyNumberFormat="1" applyFont="1" applyFill="1" applyBorder="1" applyAlignment="1">
      <alignment horizontal="right" wrapText="1" shrinkToFit="1"/>
    </xf>
    <xf numFmtId="0" fontId="53" fillId="2" borderId="0" xfId="0" applyFont="1" applyFill="1" applyAlignment="1">
      <alignment horizontal="right" wrapText="1" shrinkToFit="1"/>
    </xf>
    <xf numFmtId="167" fontId="53" fillId="3" borderId="17" xfId="1" applyNumberFormat="1" applyFont="1" applyFill="1" applyBorder="1" applyAlignment="1">
      <alignment horizontal="right" wrapText="1" shrinkToFit="1"/>
    </xf>
    <xf numFmtId="167" fontId="53" fillId="2" borderId="16" xfId="1" applyNumberFormat="1" applyFont="1" applyFill="1" applyBorder="1" applyAlignment="1">
      <alignment horizontal="right" wrapText="1" shrinkToFit="1"/>
    </xf>
    <xf numFmtId="166" fontId="58" fillId="2" borderId="0" xfId="1" applyNumberFormat="1" applyFont="1" applyFill="1" applyBorder="1" applyAlignment="1">
      <alignment horizontal="right" wrapText="1" shrinkToFit="1"/>
    </xf>
    <xf numFmtId="166" fontId="68" fillId="2" borderId="0" xfId="1" applyNumberFormat="1" applyFont="1" applyFill="1" applyBorder="1" applyAlignment="1">
      <alignment horizontal="right" wrapText="1" shrinkToFit="1"/>
    </xf>
    <xf numFmtId="168" fontId="58" fillId="2" borderId="0" xfId="2" applyNumberFormat="1" applyFont="1" applyFill="1" applyBorder="1" applyAlignment="1">
      <alignment horizontal="right" wrapText="1" shrinkToFit="1"/>
    </xf>
    <xf numFmtId="167" fontId="58" fillId="2" borderId="0" xfId="1" applyNumberFormat="1" applyFont="1" applyFill="1" applyBorder="1" applyAlignment="1">
      <alignment horizontal="right" wrapText="1" shrinkToFit="1"/>
    </xf>
    <xf numFmtId="167" fontId="59" fillId="2" borderId="0" xfId="1" applyNumberFormat="1" applyFont="1" applyFill="1" applyBorder="1" applyAlignment="1">
      <alignment horizontal="right" wrapText="1" shrinkToFit="1"/>
    </xf>
    <xf numFmtId="0" fontId="51" fillId="2" borderId="0" xfId="0" applyFont="1" applyFill="1" applyBorder="1" applyAlignment="1">
      <alignment horizontal="right" wrapText="1" shrinkToFit="1"/>
    </xf>
    <xf numFmtId="0" fontId="52" fillId="2" borderId="0" xfId="3" applyFont="1" applyFill="1" applyBorder="1" applyAlignment="1">
      <alignment horizontal="right" wrapText="1" shrinkToFit="1"/>
    </xf>
    <xf numFmtId="0" fontId="53" fillId="2" borderId="0" xfId="3" applyFont="1" applyFill="1" applyBorder="1" applyAlignment="1">
      <alignment horizontal="right" wrapText="1" shrinkToFit="1"/>
    </xf>
    <xf numFmtId="166" fontId="51" fillId="2" borderId="0" xfId="0" applyNumberFormat="1" applyFont="1" applyFill="1" applyBorder="1" applyAlignment="1">
      <alignment horizontal="right" wrapText="1" shrinkToFit="1"/>
    </xf>
    <xf numFmtId="0" fontId="52" fillId="40" borderId="0" xfId="0" applyFont="1" applyFill="1" applyAlignment="1">
      <alignment horizontal="right" wrapText="1" shrinkToFit="1"/>
    </xf>
    <xf numFmtId="0" fontId="52" fillId="40" borderId="0" xfId="0" applyFont="1" applyFill="1" applyBorder="1" applyAlignment="1">
      <alignment horizontal="right" wrapText="1" shrinkToFit="1"/>
    </xf>
    <xf numFmtId="173" fontId="53" fillId="3" borderId="0" xfId="4" applyNumberFormat="1" applyFont="1" applyFill="1" applyBorder="1" applyAlignment="1">
      <alignment horizontal="right" wrapText="1" shrinkToFit="1"/>
    </xf>
    <xf numFmtId="0" fontId="53" fillId="3" borderId="0" xfId="3" applyFont="1" applyFill="1" applyAlignment="1">
      <alignment horizontal="right" wrapText="1" shrinkToFit="1"/>
    </xf>
    <xf numFmtId="37" fontId="52" fillId="40" borderId="0" xfId="0" applyNumberFormat="1" applyFont="1" applyFill="1" applyAlignment="1">
      <alignment horizontal="right" wrapText="1" shrinkToFit="1"/>
    </xf>
    <xf numFmtId="167" fontId="52" fillId="40" borderId="0" xfId="1" applyNumberFormat="1" applyFont="1" applyFill="1" applyBorder="1" applyAlignment="1">
      <alignment horizontal="right" wrapText="1" shrinkToFit="1"/>
    </xf>
    <xf numFmtId="166" fontId="58" fillId="3" borderId="0" xfId="1" applyNumberFormat="1" applyFont="1" applyFill="1" applyBorder="1" applyAlignment="1">
      <alignment horizontal="right" wrapText="1" shrinkToFit="1"/>
    </xf>
    <xf numFmtId="0" fontId="68" fillId="3" borderId="0" xfId="0" applyFont="1" applyFill="1" applyAlignment="1">
      <alignment horizontal="right" wrapText="1" shrinkToFit="1"/>
    </xf>
    <xf numFmtId="170" fontId="68" fillId="3" borderId="0" xfId="0" applyNumberFormat="1" applyFont="1" applyFill="1" applyAlignment="1">
      <alignment horizontal="right" wrapText="1" shrinkToFit="1"/>
    </xf>
    <xf numFmtId="0" fontId="53" fillId="3" borderId="0" xfId="0" applyFont="1" applyFill="1" applyBorder="1" applyAlignment="1">
      <alignment horizontal="right" wrapText="1" shrinkToFit="1"/>
    </xf>
    <xf numFmtId="0" fontId="53" fillId="3" borderId="0" xfId="0" applyFont="1" applyFill="1" applyAlignment="1">
      <alignment horizontal="right" wrapText="1" shrinkToFit="1"/>
    </xf>
    <xf numFmtId="170" fontId="68" fillId="3" borderId="0" xfId="0" applyNumberFormat="1" applyFont="1" applyFill="1" applyBorder="1" applyAlignment="1">
      <alignment horizontal="right" wrapText="1" shrinkToFit="1"/>
    </xf>
    <xf numFmtId="0" fontId="68" fillId="40" borderId="0" xfId="0" applyFont="1" applyFill="1" applyAlignment="1">
      <alignment horizontal="right" wrapText="1" shrinkToFit="1"/>
    </xf>
    <xf numFmtId="167" fontId="53" fillId="3" borderId="0" xfId="1" applyNumberFormat="1" applyFont="1" applyFill="1" applyBorder="1" applyAlignment="1">
      <alignment horizontal="right" wrapText="1" shrinkToFit="1"/>
    </xf>
    <xf numFmtId="0" fontId="53" fillId="3" borderId="0" xfId="3" applyFont="1" applyFill="1" applyBorder="1" applyAlignment="1">
      <alignment horizontal="right" wrapText="1" shrinkToFit="1"/>
    </xf>
    <xf numFmtId="0" fontId="53" fillId="2" borderId="0" xfId="0" applyFont="1" applyFill="1" applyBorder="1" applyAlignment="1">
      <alignment horizontal="right" wrapText="1" shrinkToFit="1"/>
    </xf>
    <xf numFmtId="0" fontId="59" fillId="2" borderId="0" xfId="0" applyFont="1" applyFill="1" applyBorder="1" applyAlignment="1">
      <alignment wrapText="1"/>
    </xf>
    <xf numFmtId="0" fontId="59" fillId="40" borderId="16" xfId="0" applyFont="1" applyFill="1" applyBorder="1" applyAlignment="1">
      <alignment wrapText="1"/>
    </xf>
    <xf numFmtId="0" fontId="59" fillId="2" borderId="17" xfId="0" applyFont="1" applyFill="1" applyBorder="1" applyAlignment="1">
      <alignment wrapText="1"/>
    </xf>
    <xf numFmtId="0" fontId="59" fillId="40" borderId="0" xfId="0" applyFont="1" applyFill="1" applyBorder="1" applyAlignment="1">
      <alignment horizontal="left" wrapText="1"/>
    </xf>
    <xf numFmtId="0" fontId="59" fillId="2" borderId="0" xfId="0" applyFont="1" applyFill="1" applyBorder="1" applyAlignment="1">
      <alignment horizontal="left" wrapText="1"/>
    </xf>
    <xf numFmtId="0" fontId="59" fillId="3" borderId="17" xfId="0" applyFont="1" applyFill="1" applyBorder="1" applyAlignment="1">
      <alignment horizontal="left" wrapText="1"/>
    </xf>
    <xf numFmtId="0" fontId="53" fillId="40" borderId="0" xfId="0" applyFont="1" applyFill="1" applyBorder="1" applyAlignment="1">
      <alignment wrapText="1"/>
    </xf>
    <xf numFmtId="0" fontId="59" fillId="2" borderId="16" xfId="0" applyFont="1" applyFill="1" applyBorder="1" applyAlignment="1">
      <alignment wrapText="1"/>
    </xf>
    <xf numFmtId="0" fontId="59" fillId="40" borderId="0" xfId="0" applyFont="1" applyFill="1" applyBorder="1" applyAlignment="1">
      <alignment wrapText="1"/>
    </xf>
    <xf numFmtId="0" fontId="53" fillId="0" borderId="15" xfId="0" applyFont="1" applyFill="1" applyBorder="1" applyAlignment="1">
      <alignment wrapText="1"/>
    </xf>
    <xf numFmtId="0" fontId="52" fillId="2" borderId="0" xfId="9" applyFont="1" applyFill="1" applyAlignment="1">
      <alignment wrapText="1"/>
    </xf>
    <xf numFmtId="0" fontId="51" fillId="40" borderId="0" xfId="0" applyFont="1" applyFill="1" applyBorder="1" applyAlignment="1">
      <alignment wrapText="1"/>
    </xf>
    <xf numFmtId="0" fontId="53" fillId="3" borderId="0" xfId="0" applyFont="1" applyFill="1" applyBorder="1" applyAlignment="1">
      <alignment wrapText="1"/>
    </xf>
    <xf numFmtId="0" fontId="53" fillId="3" borderId="0" xfId="0" quotePrefix="1" applyFont="1" applyFill="1" applyBorder="1" applyAlignment="1">
      <alignment horizontal="left" wrapText="1"/>
    </xf>
    <xf numFmtId="0" fontId="53" fillId="40" borderId="0" xfId="0" applyFont="1" applyFill="1" applyBorder="1" applyAlignment="1">
      <alignment horizontal="left" wrapText="1" indent="1"/>
    </xf>
    <xf numFmtId="0" fontId="53" fillId="40" borderId="15" xfId="0" applyFont="1" applyFill="1" applyBorder="1" applyAlignment="1">
      <alignment horizontal="left" wrapText="1" indent="1"/>
    </xf>
    <xf numFmtId="0" fontId="53" fillId="3" borderId="0" xfId="0" applyFont="1" applyFill="1" applyBorder="1" applyAlignment="1">
      <alignment horizontal="left" wrapText="1" indent="1"/>
    </xf>
    <xf numFmtId="166" fontId="53" fillId="2" borderId="0" xfId="1" applyNumberFormat="1" applyFont="1" applyFill="1" applyBorder="1"/>
    <xf numFmtId="0" fontId="58" fillId="39" borderId="0" xfId="0" applyFont="1" applyFill="1" applyBorder="1" applyAlignment="1">
      <alignment vertical="center" wrapText="1" shrinkToFit="1"/>
    </xf>
    <xf numFmtId="0" fontId="53" fillId="2" borderId="0" xfId="0" applyFont="1" applyFill="1" applyBorder="1" applyAlignment="1">
      <alignment wrapText="1"/>
    </xf>
    <xf numFmtId="0" fontId="53" fillId="2" borderId="0" xfId="0" applyFont="1" applyFill="1" applyAlignment="1">
      <alignment wrapText="1"/>
    </xf>
    <xf numFmtId="0" fontId="51" fillId="2" borderId="0" xfId="0" applyFont="1" applyFill="1" applyBorder="1" applyAlignment="1">
      <alignment vertical="center"/>
    </xf>
    <xf numFmtId="179" fontId="59" fillId="0" borderId="0" xfId="54" applyNumberFormat="1" applyFont="1" applyFill="1" applyBorder="1" applyAlignment="1" applyProtection="1">
      <alignment vertical="center"/>
      <protection locked="0"/>
    </xf>
    <xf numFmtId="166" fontId="53" fillId="2" borderId="0" xfId="0" applyNumberFormat="1" applyFont="1" applyFill="1" applyBorder="1" applyAlignment="1">
      <alignment vertical="center"/>
    </xf>
    <xf numFmtId="178" fontId="53" fillId="2" borderId="0" xfId="0" applyNumberFormat="1" applyFont="1" applyFill="1" applyBorder="1" applyAlignment="1">
      <alignment vertical="center"/>
    </xf>
    <xf numFmtId="0" fontId="65" fillId="2" borderId="0" xfId="3" applyFont="1" applyFill="1" applyBorder="1" applyAlignment="1">
      <alignment horizontal="left" vertical="center" wrapText="1"/>
    </xf>
    <xf numFmtId="166" fontId="67" fillId="2" borderId="0" xfId="0" applyNumberFormat="1" applyFont="1" applyFill="1" applyBorder="1" applyAlignment="1">
      <alignment vertical="center"/>
    </xf>
    <xf numFmtId="0" fontId="67" fillId="2" borderId="0" xfId="0" applyFont="1" applyFill="1" applyBorder="1" applyAlignment="1">
      <alignment vertical="center"/>
    </xf>
    <xf numFmtId="43" fontId="53" fillId="2" borderId="0" xfId="0" applyNumberFormat="1" applyFont="1" applyFill="1" applyAlignment="1">
      <alignment vertical="center"/>
    </xf>
    <xf numFmtId="0" fontId="53" fillId="2" borderId="0" xfId="0" applyFont="1" applyFill="1" applyBorder="1" applyAlignment="1">
      <alignment vertical="center" wrapText="1"/>
    </xf>
    <xf numFmtId="166" fontId="53" fillId="0" borderId="0" xfId="0" applyNumberFormat="1" applyFont="1" applyFill="1" applyAlignment="1">
      <alignment vertical="center"/>
    </xf>
    <xf numFmtId="0" fontId="53" fillId="3" borderId="0" xfId="3" applyFont="1" applyFill="1" applyAlignment="1">
      <alignment vertical="center"/>
    </xf>
    <xf numFmtId="0" fontId="55" fillId="3" borderId="15" xfId="0" applyFont="1" applyFill="1" applyBorder="1" applyAlignment="1">
      <alignment vertical="center"/>
    </xf>
    <xf numFmtId="166" fontId="53" fillId="2" borderId="0" xfId="1" applyNumberFormat="1" applyFont="1" applyFill="1" applyBorder="1" applyAlignment="1">
      <alignment vertical="center"/>
    </xf>
    <xf numFmtId="167" fontId="59" fillId="3" borderId="0" xfId="1" applyNumberFormat="1" applyFont="1" applyFill="1" applyBorder="1" applyAlignment="1">
      <alignment horizontal="right" vertical="center" wrapText="1" shrinkToFit="1"/>
    </xf>
    <xf numFmtId="0" fontId="53" fillId="3" borderId="0" xfId="3" applyFont="1" applyFill="1" applyAlignment="1">
      <alignment horizontal="right" vertical="center" wrapText="1" shrinkToFit="1"/>
    </xf>
    <xf numFmtId="170" fontId="68" fillId="3" borderId="0" xfId="0" applyNumberFormat="1" applyFont="1" applyFill="1" applyAlignment="1">
      <alignment horizontal="right" vertical="center" wrapText="1" shrinkToFit="1"/>
    </xf>
    <xf numFmtId="167" fontId="53" fillId="0" borderId="16" xfId="1" applyNumberFormat="1" applyFont="1" applyFill="1" applyBorder="1" applyAlignment="1">
      <alignment horizontal="right" vertical="center" wrapText="1" shrinkToFit="1"/>
    </xf>
    <xf numFmtId="167" fontId="53" fillId="0" borderId="0" xfId="1" applyNumberFormat="1" applyFont="1" applyFill="1" applyBorder="1" applyAlignment="1">
      <alignment horizontal="right" vertical="center" wrapText="1" shrinkToFit="1"/>
    </xf>
    <xf numFmtId="0" fontId="51" fillId="40" borderId="3" xfId="0" applyFont="1" applyFill="1" applyBorder="1" applyAlignment="1">
      <alignment vertical="center" wrapText="1"/>
    </xf>
    <xf numFmtId="0" fontId="53" fillId="3" borderId="0" xfId="0" applyFont="1" applyFill="1" applyBorder="1" applyAlignment="1">
      <alignment horizontal="left" vertical="center" wrapText="1" indent="1"/>
    </xf>
    <xf numFmtId="0" fontId="53" fillId="40" borderId="0" xfId="0" applyFont="1" applyFill="1" applyBorder="1" applyAlignment="1">
      <alignment horizontal="left" vertical="center" wrapText="1" indent="1"/>
    </xf>
    <xf numFmtId="0" fontId="68" fillId="40" borderId="0" xfId="0" applyFont="1" applyFill="1" applyAlignment="1">
      <alignment horizontal="right" vertical="center" wrapText="1" shrinkToFit="1"/>
    </xf>
    <xf numFmtId="0" fontId="59" fillId="40" borderId="0" xfId="0" applyFont="1" applyFill="1" applyBorder="1" applyAlignment="1">
      <alignment horizontal="left" vertical="center" wrapText="1" indent="1"/>
    </xf>
    <xf numFmtId="0" fontId="53" fillId="40" borderId="15" xfId="0" applyFont="1" applyFill="1" applyBorder="1" applyAlignment="1">
      <alignment horizontal="left" vertical="center" wrapText="1" indent="1"/>
    </xf>
    <xf numFmtId="166" fontId="51" fillId="2" borderId="0" xfId="0" applyNumberFormat="1" applyFont="1" applyFill="1" applyBorder="1" applyAlignment="1">
      <alignment horizontal="centerContinuous" vertical="center"/>
    </xf>
    <xf numFmtId="167" fontId="59" fillId="2" borderId="0" xfId="1" applyNumberFormat="1" applyFont="1" applyFill="1" applyAlignment="1">
      <alignment vertical="center"/>
    </xf>
    <xf numFmtId="0" fontId="52" fillId="3" borderId="0" xfId="9" applyFont="1" applyFill="1" applyAlignment="1">
      <alignment vertical="center"/>
    </xf>
    <xf numFmtId="168" fontId="51" fillId="3" borderId="0" xfId="2" applyNumberFormat="1" applyFont="1" applyFill="1" applyBorder="1" applyAlignment="1">
      <alignment vertical="center"/>
    </xf>
    <xf numFmtId="169" fontId="59" fillId="3" borderId="0" xfId="1" applyNumberFormat="1" applyFont="1" applyFill="1" applyBorder="1" applyAlignment="1">
      <alignment vertical="center"/>
    </xf>
    <xf numFmtId="166" fontId="59" fillId="2" borderId="0" xfId="1" applyNumberFormat="1" applyFont="1" applyFill="1" applyBorder="1" applyAlignment="1">
      <alignment vertical="center"/>
    </xf>
    <xf numFmtId="167" fontId="53" fillId="0" borderId="0" xfId="4" applyNumberFormat="1" applyFont="1" applyFill="1" applyBorder="1" applyAlignment="1">
      <alignment horizontal="right" vertical="center" wrapText="1" shrinkToFit="1"/>
    </xf>
    <xf numFmtId="167" fontId="68" fillId="0" borderId="0" xfId="4" applyNumberFormat="1" applyFont="1" applyFill="1" applyBorder="1" applyAlignment="1">
      <alignment horizontal="right" vertical="center" wrapText="1" shrinkToFit="1"/>
    </xf>
    <xf numFmtId="167" fontId="68" fillId="3" borderId="0" xfId="1" applyNumberFormat="1" applyFont="1" applyFill="1" applyBorder="1" applyAlignment="1">
      <alignment horizontal="right" vertical="center" wrapText="1" shrinkToFit="1"/>
    </xf>
    <xf numFmtId="165" fontId="68" fillId="3" borderId="0" xfId="1" applyFont="1" applyFill="1" applyBorder="1" applyAlignment="1">
      <alignment horizontal="right" vertical="center" wrapText="1" shrinkToFit="1"/>
    </xf>
    <xf numFmtId="167" fontId="53" fillId="3" borderId="17" xfId="1" applyNumberFormat="1" applyFont="1" applyFill="1" applyBorder="1" applyAlignment="1">
      <alignment horizontal="right" vertical="center" wrapText="1" shrinkToFit="1"/>
    </xf>
    <xf numFmtId="165" fontId="68" fillId="0" borderId="0" xfId="1" applyFont="1" applyFill="1" applyBorder="1" applyAlignment="1">
      <alignment horizontal="right" vertical="center" wrapText="1" shrinkToFit="1"/>
    </xf>
    <xf numFmtId="167" fontId="68" fillId="0" borderId="0" xfId="1" applyNumberFormat="1" applyFont="1" applyFill="1" applyBorder="1" applyAlignment="1">
      <alignment horizontal="right" vertical="center" wrapText="1" shrinkToFit="1"/>
    </xf>
    <xf numFmtId="165" fontId="58" fillId="2" borderId="0" xfId="1" applyFont="1" applyFill="1" applyBorder="1" applyAlignment="1">
      <alignment horizontal="right" vertical="center" wrapText="1" shrinkToFit="1"/>
    </xf>
    <xf numFmtId="166" fontId="51" fillId="2" borderId="0" xfId="1" quotePrefix="1" applyNumberFormat="1" applyFont="1" applyFill="1" applyBorder="1" applyAlignment="1">
      <alignment horizontal="right" vertical="center" wrapText="1" shrinkToFit="1"/>
    </xf>
    <xf numFmtId="167" fontId="51" fillId="2" borderId="0" xfId="1" applyNumberFormat="1" applyFont="1" applyFill="1" applyBorder="1" applyAlignment="1">
      <alignment horizontal="right" vertical="center" wrapText="1" shrinkToFit="1"/>
    </xf>
    <xf numFmtId="165" fontId="53" fillId="2" borderId="0" xfId="1" applyFont="1" applyFill="1" applyAlignment="1">
      <alignment horizontal="right" vertical="center" wrapText="1" shrinkToFit="1"/>
    </xf>
    <xf numFmtId="0" fontId="74" fillId="0" borderId="14" xfId="0" applyFont="1" applyBorder="1" applyAlignment="1">
      <alignment horizontal="right" vertical="center" wrapText="1" shrinkToFit="1"/>
    </xf>
    <xf numFmtId="165" fontId="53" fillId="2" borderId="0" xfId="1" applyFont="1" applyFill="1" applyBorder="1" applyAlignment="1">
      <alignment horizontal="right" vertical="center" wrapText="1" shrinkToFit="1"/>
    </xf>
    <xf numFmtId="170" fontId="53" fillId="3" borderId="0" xfId="3" applyNumberFormat="1" applyFont="1" applyFill="1" applyBorder="1" applyAlignment="1">
      <alignment horizontal="right" vertical="center" wrapText="1" shrinkToFit="1"/>
    </xf>
    <xf numFmtId="167" fontId="52" fillId="0" borderId="0" xfId="1" applyNumberFormat="1" applyFont="1" applyFill="1" applyBorder="1" applyAlignment="1">
      <alignment horizontal="right" vertical="center" wrapText="1" shrinkToFit="1"/>
    </xf>
    <xf numFmtId="170" fontId="53" fillId="0" borderId="0" xfId="3" applyNumberFormat="1" applyFont="1" applyFill="1" applyBorder="1" applyAlignment="1">
      <alignment horizontal="right" vertical="center" wrapText="1" shrinkToFit="1"/>
    </xf>
    <xf numFmtId="0" fontId="59" fillId="2" borderId="0" xfId="0" quotePrefix="1" applyFont="1" applyFill="1" applyBorder="1" applyAlignment="1">
      <alignment horizontal="left" vertical="center" wrapText="1"/>
    </xf>
    <xf numFmtId="0" fontId="53" fillId="3" borderId="0" xfId="0" applyFont="1" applyFill="1" applyAlignment="1">
      <alignment vertical="center" wrapText="1"/>
    </xf>
    <xf numFmtId="0" fontId="53" fillId="40" borderId="0" xfId="3" applyFont="1" applyFill="1" applyBorder="1" applyAlignment="1">
      <alignment vertical="center" wrapText="1"/>
    </xf>
    <xf numFmtId="0" fontId="59" fillId="3" borderId="0" xfId="0" applyFont="1" applyFill="1" applyBorder="1" applyAlignment="1">
      <alignment wrapText="1"/>
    </xf>
    <xf numFmtId="0" fontId="68" fillId="2" borderId="0" xfId="0" applyFont="1" applyFill="1"/>
    <xf numFmtId="166" fontId="53" fillId="2" borderId="0" xfId="1" applyNumberFormat="1" applyFont="1" applyFill="1"/>
    <xf numFmtId="0" fontId="58" fillId="39" borderId="0" xfId="0" applyFont="1" applyFill="1" applyBorder="1" applyAlignment="1">
      <alignment vertical="center" wrapText="1"/>
    </xf>
    <xf numFmtId="167" fontId="53" fillId="0" borderId="0" xfId="1" applyNumberFormat="1" applyFont="1" applyFill="1" applyBorder="1" applyAlignment="1">
      <alignment horizontal="right" wrapText="1" shrinkToFit="1"/>
    </xf>
    <xf numFmtId="0" fontId="52" fillId="2" borderId="0" xfId="0" applyFont="1" applyFill="1" applyBorder="1" applyAlignment="1">
      <alignment horizontal="right" vertical="center" wrapText="1" shrinkToFit="1"/>
    </xf>
    <xf numFmtId="0" fontId="52" fillId="2" borderId="0" xfId="0" applyFont="1" applyFill="1" applyAlignment="1">
      <alignment horizontal="right" vertical="center" wrapText="1" shrinkToFit="1"/>
    </xf>
    <xf numFmtId="0" fontId="52" fillId="0" borderId="0" xfId="0" applyFont="1" applyFill="1" applyBorder="1" applyAlignment="1">
      <alignment horizontal="right" vertical="center" wrapText="1" shrinkToFit="1"/>
    </xf>
    <xf numFmtId="166" fontId="51" fillId="3" borderId="0" xfId="0" applyNumberFormat="1" applyFont="1" applyFill="1" applyBorder="1" applyAlignment="1">
      <alignment horizontal="right" vertical="center" wrapText="1" shrinkToFit="1"/>
    </xf>
    <xf numFmtId="0" fontId="59" fillId="2" borderId="0" xfId="0" applyFont="1" applyFill="1" applyBorder="1" applyAlignment="1">
      <alignment horizontal="right" wrapText="1" shrinkToFit="1"/>
    </xf>
    <xf numFmtId="0" fontId="59" fillId="3" borderId="0" xfId="0" applyFont="1" applyFill="1" applyBorder="1" applyAlignment="1">
      <alignment horizontal="right" wrapText="1" shrinkToFit="1"/>
    </xf>
    <xf numFmtId="166" fontId="53" fillId="3" borderId="0" xfId="1" applyNumberFormat="1" applyFont="1" applyFill="1" applyBorder="1" applyAlignment="1">
      <alignment horizontal="right" vertical="center" wrapText="1" shrinkToFit="1"/>
    </xf>
    <xf numFmtId="167" fontId="51" fillId="2" borderId="0" xfId="1" applyNumberFormat="1" applyFont="1" applyFill="1" applyBorder="1" applyAlignment="1">
      <alignment horizontal="right" wrapText="1" shrinkToFit="1"/>
    </xf>
    <xf numFmtId="0" fontId="68" fillId="2" borderId="0" xfId="0" applyFont="1" applyFill="1" applyAlignment="1">
      <alignment horizontal="right" wrapText="1" shrinkToFit="1"/>
    </xf>
    <xf numFmtId="0" fontId="58" fillId="2" borderId="0" xfId="0" applyFont="1" applyFill="1" applyBorder="1" applyAlignment="1">
      <alignment horizontal="right" wrapText="1" shrinkToFit="1"/>
    </xf>
    <xf numFmtId="166" fontId="53" fillId="3" borderId="0" xfId="1" applyNumberFormat="1" applyFont="1" applyFill="1" applyBorder="1" applyAlignment="1">
      <alignment horizontal="right" wrapText="1" shrinkToFit="1"/>
    </xf>
    <xf numFmtId="0" fontId="56" fillId="2" borderId="0" xfId="0" applyFont="1" applyFill="1" applyBorder="1" applyAlignment="1">
      <alignment horizontal="right" wrapText="1" shrinkToFit="1"/>
    </xf>
    <xf numFmtId="168" fontId="53" fillId="2" borderId="0" xfId="2" applyNumberFormat="1" applyFont="1" applyFill="1" applyBorder="1" applyAlignment="1">
      <alignment horizontal="right" wrapText="1" shrinkToFit="1"/>
    </xf>
    <xf numFmtId="166" fontId="53" fillId="2" borderId="0" xfId="1" applyNumberFormat="1" applyFont="1" applyFill="1" applyAlignment="1">
      <alignment horizontal="right" wrapText="1" shrinkToFit="1"/>
    </xf>
    <xf numFmtId="166" fontId="53" fillId="3" borderId="0" xfId="0" applyNumberFormat="1" applyFont="1" applyFill="1" applyAlignment="1"/>
    <xf numFmtId="166" fontId="77" fillId="3" borderId="0" xfId="1" applyNumberFormat="1" applyFont="1" applyFill="1" applyBorder="1" applyAlignment="1">
      <alignment horizontal="right" wrapText="1" shrinkToFit="1"/>
    </xf>
    <xf numFmtId="0" fontId="52" fillId="2" borderId="0" xfId="3" quotePrefix="1" applyFont="1" applyFill="1" applyBorder="1" applyAlignment="1">
      <alignment horizontal="right" vertical="center" wrapText="1" shrinkToFit="1"/>
    </xf>
    <xf numFmtId="0" fontId="59" fillId="2" borderId="0" xfId="0" applyFont="1" applyFill="1" applyBorder="1" applyAlignment="1">
      <alignment horizontal="right" vertical="center" wrapText="1" shrinkToFit="1"/>
    </xf>
    <xf numFmtId="0" fontId="59" fillId="2" borderId="0" xfId="0" quotePrefix="1" applyFont="1" applyFill="1" applyBorder="1" applyAlignment="1">
      <alignment horizontal="right" vertical="center" wrapText="1" shrinkToFit="1"/>
    </xf>
    <xf numFmtId="0" fontId="59" fillId="3" borderId="0" xfId="0" applyFont="1" applyFill="1" applyBorder="1" applyAlignment="1">
      <alignment horizontal="right" vertical="center" wrapText="1" shrinkToFit="1"/>
    </xf>
    <xf numFmtId="166" fontId="53" fillId="3" borderId="0" xfId="0" applyNumberFormat="1" applyFont="1" applyFill="1" applyAlignment="1">
      <alignment vertical="center"/>
    </xf>
    <xf numFmtId="174" fontId="53" fillId="2" borderId="0" xfId="0" applyNumberFormat="1" applyFont="1" applyFill="1" applyAlignment="1">
      <alignment vertical="center"/>
    </xf>
    <xf numFmtId="165" fontId="53" fillId="2" borderId="0" xfId="1" quotePrefix="1" applyNumberFormat="1" applyFont="1" applyFill="1" applyBorder="1" applyAlignment="1">
      <alignment horizontal="right" vertical="center" wrapText="1" shrinkToFit="1"/>
    </xf>
    <xf numFmtId="166" fontId="53" fillId="2" borderId="0" xfId="1" applyNumberFormat="1" applyFont="1" applyFill="1" applyBorder="1" applyAlignment="1">
      <alignment horizontal="right" vertical="center" wrapText="1" shrinkToFit="1"/>
    </xf>
    <xf numFmtId="166" fontId="59" fillId="2" borderId="0" xfId="1" applyNumberFormat="1" applyFont="1" applyFill="1" applyBorder="1" applyAlignment="1">
      <alignment horizontal="right" vertical="center" wrapText="1" shrinkToFit="1"/>
    </xf>
    <xf numFmtId="0" fontId="76" fillId="0" borderId="0" xfId="0" applyFont="1" applyFill="1" applyBorder="1" applyAlignment="1">
      <alignment horizontal="right" vertical="center" wrapText="1" shrinkToFit="1"/>
    </xf>
    <xf numFmtId="0" fontId="56" fillId="2" borderId="0" xfId="0" applyFont="1" applyFill="1" applyBorder="1" applyAlignment="1">
      <alignment horizontal="right" vertical="center" wrapText="1" shrinkToFit="1"/>
    </xf>
    <xf numFmtId="166" fontId="53" fillId="3" borderId="0" xfId="0" applyNumberFormat="1" applyFont="1" applyFill="1" applyBorder="1" applyAlignment="1">
      <alignment horizontal="right" vertical="center" wrapText="1" shrinkToFit="1"/>
    </xf>
    <xf numFmtId="0" fontId="59" fillId="2" borderId="0" xfId="0" applyFont="1" applyFill="1" applyBorder="1" applyAlignment="1">
      <alignment horizontal="centerContinuous" vertical="center"/>
    </xf>
    <xf numFmtId="0" fontId="51" fillId="2" borderId="0" xfId="0" applyFont="1" applyFill="1" applyBorder="1" applyAlignment="1">
      <alignment horizontal="centerContinuous" vertical="center"/>
    </xf>
    <xf numFmtId="0" fontId="53" fillId="0" borderId="0" xfId="0" applyFont="1" applyFill="1" applyAlignment="1">
      <alignment horizontal="right" vertical="center" wrapText="1" shrinkToFit="1"/>
    </xf>
    <xf numFmtId="165" fontId="59" fillId="2" borderId="0" xfId="1" applyNumberFormat="1" applyFont="1" applyFill="1" applyAlignment="1">
      <alignment horizontal="right" vertical="center" wrapText="1" shrinkToFit="1"/>
    </xf>
    <xf numFmtId="165" fontId="77" fillId="0" borderId="0" xfId="1" applyNumberFormat="1" applyFont="1" applyFill="1" applyBorder="1" applyAlignment="1">
      <alignment horizontal="right" vertical="center" wrapText="1" shrinkToFit="1"/>
    </xf>
    <xf numFmtId="165" fontId="51" fillId="2" borderId="0" xfId="1" applyNumberFormat="1" applyFont="1" applyFill="1" applyBorder="1" applyAlignment="1">
      <alignment horizontal="right" vertical="center" wrapText="1" shrinkToFit="1"/>
    </xf>
    <xf numFmtId="165" fontId="59" fillId="2" borderId="0" xfId="1" applyNumberFormat="1" applyFont="1" applyFill="1" applyBorder="1" applyAlignment="1">
      <alignment horizontal="right" vertical="center" wrapText="1" shrinkToFit="1"/>
    </xf>
    <xf numFmtId="10" fontId="51" fillId="2" borderId="0" xfId="2" applyNumberFormat="1" applyFont="1" applyFill="1" applyBorder="1" applyAlignment="1">
      <alignment horizontal="right" vertical="center" wrapText="1" shrinkToFit="1"/>
    </xf>
    <xf numFmtId="9" fontId="80" fillId="2" borderId="0" xfId="2" applyFont="1" applyFill="1" applyBorder="1" applyAlignment="1">
      <alignment horizontal="right" vertical="center" wrapText="1" shrinkToFit="1"/>
    </xf>
    <xf numFmtId="166" fontId="71" fillId="2" borderId="0" xfId="1" applyNumberFormat="1" applyFont="1" applyFill="1" applyBorder="1" applyAlignment="1">
      <alignment horizontal="right" vertical="center" wrapText="1" shrinkToFit="1"/>
    </xf>
    <xf numFmtId="167" fontId="71" fillId="2" borderId="0" xfId="1" applyNumberFormat="1" applyFont="1" applyFill="1" applyBorder="1" applyAlignment="1">
      <alignment horizontal="right" vertical="center" wrapText="1" shrinkToFit="1"/>
    </xf>
    <xf numFmtId="167" fontId="81" fillId="2" borderId="0" xfId="1" applyNumberFormat="1" applyFont="1" applyFill="1" applyBorder="1" applyAlignment="1">
      <alignment horizontal="right" vertical="center" wrapText="1" shrinkToFit="1"/>
    </xf>
    <xf numFmtId="167" fontId="71" fillId="3" borderId="0" xfId="1" applyNumberFormat="1" applyFont="1" applyFill="1" applyBorder="1" applyAlignment="1">
      <alignment horizontal="right" vertical="center" wrapText="1" shrinkToFit="1"/>
    </xf>
    <xf numFmtId="0" fontId="70" fillId="2" borderId="0" xfId="0" applyFont="1" applyFill="1" applyAlignment="1">
      <alignment horizontal="right" vertical="center" wrapText="1" shrinkToFit="1"/>
    </xf>
    <xf numFmtId="0" fontId="70" fillId="3" borderId="0" xfId="0" applyFont="1" applyFill="1" applyAlignment="1">
      <alignment horizontal="right" vertical="center" wrapText="1" shrinkToFit="1"/>
    </xf>
    <xf numFmtId="0" fontId="70" fillId="3" borderId="0" xfId="0" applyFont="1" applyFill="1" applyBorder="1" applyAlignment="1">
      <alignment horizontal="right" vertical="center" wrapText="1" shrinkToFit="1"/>
    </xf>
    <xf numFmtId="0" fontId="82" fillId="3" borderId="0" xfId="0" applyFont="1" applyFill="1" applyBorder="1" applyAlignment="1">
      <alignment horizontal="right" vertical="center" wrapText="1" shrinkToFit="1"/>
    </xf>
    <xf numFmtId="0" fontId="82" fillId="3" borderId="0" xfId="0" applyFont="1" applyFill="1" applyAlignment="1">
      <alignment horizontal="right" vertical="center" wrapText="1" shrinkToFit="1"/>
    </xf>
    <xf numFmtId="0" fontId="70" fillId="2" borderId="0" xfId="0" applyFont="1" applyFill="1" applyBorder="1" applyAlignment="1">
      <alignment horizontal="right" vertical="center" wrapText="1" shrinkToFit="1"/>
    </xf>
    <xf numFmtId="166" fontId="70" fillId="2" borderId="0" xfId="0" applyNumberFormat="1" applyFont="1" applyFill="1" applyAlignment="1">
      <alignment horizontal="right" vertical="center" wrapText="1" shrinkToFit="1"/>
    </xf>
    <xf numFmtId="168" fontId="53" fillId="2" borderId="0" xfId="2" applyNumberFormat="1" applyFont="1" applyFill="1" applyBorder="1" applyAlignment="1">
      <alignment horizontal="right" vertical="center" wrapText="1" shrinkToFit="1"/>
    </xf>
    <xf numFmtId="0" fontId="53" fillId="0" borderId="0" xfId="0" applyFont="1" applyFill="1" applyBorder="1" applyAlignment="1">
      <alignment horizontal="right" vertical="center" wrapText="1" shrinkToFit="1"/>
    </xf>
    <xf numFmtId="166" fontId="52" fillId="2" borderId="0" xfId="0" applyNumberFormat="1" applyFont="1" applyFill="1" applyAlignment="1">
      <alignment horizontal="right" vertical="center" wrapText="1" shrinkToFit="1"/>
    </xf>
    <xf numFmtId="166" fontId="53" fillId="2" borderId="0" xfId="1" applyNumberFormat="1" applyFont="1" applyFill="1" applyAlignment="1">
      <alignment horizontal="right" vertical="center" wrapText="1" shrinkToFit="1"/>
    </xf>
    <xf numFmtId="0" fontId="59" fillId="2" borderId="0" xfId="0" applyFont="1" applyFill="1" applyBorder="1" applyAlignment="1">
      <alignment horizontal="left" vertical="center" wrapText="1" indent="1"/>
    </xf>
    <xf numFmtId="0" fontId="59" fillId="2" borderId="0" xfId="0" quotePrefix="1" applyFont="1" applyFill="1" applyBorder="1" applyAlignment="1">
      <alignment horizontal="left" vertical="center" wrapText="1" indent="1"/>
    </xf>
    <xf numFmtId="0" fontId="65" fillId="0" borderId="0" xfId="0" applyFont="1" applyFill="1" applyBorder="1" applyAlignment="1">
      <alignment horizontal="right" vertical="center" wrapText="1" shrinkToFit="1"/>
    </xf>
    <xf numFmtId="167" fontId="67" fillId="2" borderId="0" xfId="1" applyNumberFormat="1" applyFont="1" applyFill="1" applyBorder="1" applyAlignment="1">
      <alignment horizontal="right" vertical="center" wrapText="1" shrinkToFit="1"/>
    </xf>
    <xf numFmtId="0" fontId="67" fillId="2" borderId="0" xfId="0" applyFont="1" applyFill="1" applyBorder="1" applyAlignment="1">
      <alignment horizontal="right" vertical="center" wrapText="1" shrinkToFit="1"/>
    </xf>
    <xf numFmtId="171" fontId="65" fillId="2" borderId="0" xfId="0" applyNumberFormat="1" applyFont="1" applyFill="1" applyBorder="1" applyAlignment="1">
      <alignment horizontal="right" vertical="center" wrapText="1" shrinkToFit="1"/>
    </xf>
    <xf numFmtId="167" fontId="53" fillId="0" borderId="17" xfId="1" applyNumberFormat="1" applyFont="1" applyFill="1" applyBorder="1" applyAlignment="1">
      <alignment horizontal="right" vertical="center" wrapText="1" shrinkToFit="1"/>
    </xf>
    <xf numFmtId="0" fontId="59" fillId="40" borderId="17" xfId="0" applyFont="1" applyFill="1" applyBorder="1" applyAlignment="1">
      <alignment horizontal="left" vertical="center" wrapText="1"/>
    </xf>
    <xf numFmtId="166" fontId="53" fillId="40" borderId="17" xfId="1" quotePrefix="1" applyNumberFormat="1" applyFont="1" applyFill="1" applyBorder="1" applyAlignment="1">
      <alignment horizontal="right" vertical="center" wrapText="1" shrinkToFit="1"/>
    </xf>
    <xf numFmtId="167" fontId="53" fillId="40" borderId="17" xfId="1" applyNumberFormat="1" applyFont="1" applyFill="1" applyBorder="1" applyAlignment="1">
      <alignment horizontal="right" vertical="center" wrapText="1" shrinkToFit="1"/>
    </xf>
    <xf numFmtId="0" fontId="59" fillId="40" borderId="0" xfId="0" quotePrefix="1" applyFont="1" applyFill="1" applyBorder="1" applyAlignment="1">
      <alignment horizontal="left" vertical="center" wrapText="1" indent="1"/>
    </xf>
    <xf numFmtId="166" fontId="53" fillId="40" borderId="0" xfId="1" quotePrefix="1" applyNumberFormat="1" applyFont="1" applyFill="1" applyBorder="1" applyAlignment="1">
      <alignment horizontal="right" vertical="center" wrapText="1" shrinkToFit="1"/>
    </xf>
    <xf numFmtId="166" fontId="53" fillId="40" borderId="17" xfId="1" applyNumberFormat="1" applyFont="1" applyFill="1" applyBorder="1" applyAlignment="1">
      <alignment horizontal="right" vertical="center" wrapText="1" shrinkToFit="1"/>
    </xf>
    <xf numFmtId="9" fontId="77" fillId="2" borderId="0" xfId="2" applyNumberFormat="1" applyFont="1" applyFill="1" applyBorder="1" applyAlignment="1">
      <alignment horizontal="right" vertical="center" wrapText="1" shrinkToFit="1"/>
    </xf>
    <xf numFmtId="167" fontId="59" fillId="0" borderId="0" xfId="1" applyNumberFormat="1" applyFont="1" applyFill="1" applyBorder="1" applyAlignment="1">
      <alignment horizontal="right" vertical="center" wrapText="1" shrinkToFit="1"/>
    </xf>
    <xf numFmtId="9" fontId="77" fillId="3" borderId="0" xfId="2" applyNumberFormat="1" applyFont="1" applyFill="1" applyBorder="1" applyAlignment="1">
      <alignment horizontal="right" vertical="center" wrapText="1" shrinkToFit="1"/>
    </xf>
    <xf numFmtId="0" fontId="59" fillId="2" borderId="16" xfId="0" applyFont="1" applyFill="1" applyBorder="1" applyAlignment="1">
      <alignment horizontal="left" vertical="center" wrapText="1" indent="1"/>
    </xf>
    <xf numFmtId="166" fontId="53" fillId="2" borderId="16" xfId="1" applyNumberFormat="1" applyFont="1" applyFill="1" applyBorder="1" applyAlignment="1">
      <alignment horizontal="right" vertical="center" wrapText="1" shrinkToFit="1"/>
    </xf>
    <xf numFmtId="166" fontId="53" fillId="2" borderId="16" xfId="1" quotePrefix="1" applyNumberFormat="1" applyFont="1" applyFill="1" applyBorder="1" applyAlignment="1">
      <alignment horizontal="right" vertical="center" wrapText="1" shrinkToFit="1"/>
    </xf>
    <xf numFmtId="168" fontId="75" fillId="40" borderId="0" xfId="2" quotePrefix="1" applyNumberFormat="1" applyFont="1" applyFill="1" applyBorder="1" applyAlignment="1">
      <alignment horizontal="right" vertical="center" wrapText="1" shrinkToFit="1"/>
    </xf>
    <xf numFmtId="0" fontId="59" fillId="40" borderId="17" xfId="0" applyFont="1" applyFill="1" applyBorder="1" applyAlignment="1">
      <alignment vertical="center" wrapText="1"/>
    </xf>
    <xf numFmtId="0" fontId="59" fillId="40" borderId="15" xfId="0" applyFont="1" applyFill="1" applyBorder="1" applyAlignment="1">
      <alignment vertical="center" wrapText="1"/>
    </xf>
    <xf numFmtId="166" fontId="53" fillId="40" borderId="15" xfId="1" applyNumberFormat="1" applyFont="1" applyFill="1" applyBorder="1" applyAlignment="1">
      <alignment horizontal="right" vertical="center" wrapText="1" shrinkToFit="1"/>
    </xf>
    <xf numFmtId="0" fontId="59" fillId="2" borderId="15" xfId="0" applyFont="1" applyFill="1" applyBorder="1" applyAlignment="1">
      <alignment horizontal="right" vertical="center" wrapText="1" shrinkToFit="1"/>
    </xf>
    <xf numFmtId="167" fontId="68" fillId="3" borderId="15" xfId="1" applyNumberFormat="1" applyFont="1" applyFill="1" applyBorder="1" applyAlignment="1">
      <alignment horizontal="right" vertical="center" wrapText="1" shrinkToFit="1"/>
    </xf>
    <xf numFmtId="166" fontId="68" fillId="3" borderId="0" xfId="1" applyNumberFormat="1" applyFont="1" applyFill="1" applyBorder="1" applyAlignment="1">
      <alignment horizontal="right" vertical="center" wrapText="1" shrinkToFit="1"/>
    </xf>
    <xf numFmtId="166" fontId="68" fillId="3" borderId="0" xfId="1" applyNumberFormat="1" applyFont="1" applyFill="1" applyBorder="1" applyAlignment="1">
      <alignment horizontal="right" wrapText="1" shrinkToFit="1"/>
    </xf>
    <xf numFmtId="0" fontId="51" fillId="3" borderId="0" xfId="0" applyFont="1" applyFill="1" applyBorder="1" applyAlignment="1">
      <alignment vertical="center"/>
    </xf>
    <xf numFmtId="0" fontId="52" fillId="2" borderId="0" xfId="0" applyFont="1" applyFill="1" applyAlignment="1">
      <alignment vertical="center"/>
    </xf>
    <xf numFmtId="166" fontId="53" fillId="3" borderId="0" xfId="3" applyNumberFormat="1" applyFont="1" applyFill="1" applyAlignment="1">
      <alignment horizontal="right" vertical="center" wrapText="1" shrinkToFit="1"/>
    </xf>
    <xf numFmtId="167" fontId="53" fillId="3" borderId="0" xfId="3" applyNumberFormat="1" applyFont="1" applyFill="1" applyBorder="1" applyAlignment="1">
      <alignment horizontal="right" vertical="center" wrapText="1" shrinkToFit="1"/>
    </xf>
    <xf numFmtId="167" fontId="53" fillId="40" borderId="0" xfId="3" applyNumberFormat="1" applyFont="1" applyFill="1" applyBorder="1" applyAlignment="1">
      <alignment horizontal="right" vertical="center" wrapText="1" shrinkToFit="1"/>
    </xf>
    <xf numFmtId="167" fontId="53" fillId="40" borderId="15" xfId="3" applyNumberFormat="1" applyFont="1" applyFill="1" applyBorder="1" applyAlignment="1">
      <alignment horizontal="right" vertical="center" wrapText="1" shrinkToFit="1"/>
    </xf>
    <xf numFmtId="170" fontId="53" fillId="2" borderId="16" xfId="0" applyNumberFormat="1" applyFont="1" applyFill="1" applyBorder="1" applyAlignment="1">
      <alignment horizontal="right" vertical="center" wrapText="1" shrinkToFit="1"/>
    </xf>
    <xf numFmtId="170" fontId="53" fillId="40" borderId="0" xfId="0" applyNumberFormat="1" applyFont="1" applyFill="1" applyAlignment="1">
      <alignment horizontal="right" vertical="center" wrapText="1" shrinkToFit="1"/>
    </xf>
    <xf numFmtId="170" fontId="53" fillId="40" borderId="0" xfId="0" applyNumberFormat="1" applyFont="1" applyFill="1" applyBorder="1" applyAlignment="1">
      <alignment horizontal="right" vertical="center" wrapText="1" shrinkToFit="1"/>
    </xf>
    <xf numFmtId="0" fontId="53" fillId="3" borderId="15" xfId="0" applyFont="1" applyFill="1" applyBorder="1" applyAlignment="1">
      <alignment vertical="center" wrapText="1"/>
    </xf>
    <xf numFmtId="0" fontId="53" fillId="3" borderId="15" xfId="0" applyFont="1" applyFill="1" applyBorder="1" applyAlignment="1">
      <alignment horizontal="right" vertical="center" wrapText="1" shrinkToFit="1"/>
    </xf>
    <xf numFmtId="0" fontId="59" fillId="40" borderId="0" xfId="0" applyFont="1" applyFill="1" applyBorder="1" applyAlignment="1">
      <alignment horizontal="right" vertical="center" wrapText="1" shrinkToFit="1"/>
    </xf>
    <xf numFmtId="165" fontId="59" fillId="40" borderId="0" xfId="1" applyNumberFormat="1" applyFont="1" applyFill="1" applyAlignment="1">
      <alignment horizontal="right" vertical="center" wrapText="1" shrinkToFit="1"/>
    </xf>
    <xf numFmtId="0" fontId="59" fillId="40" borderId="15" xfId="0" applyFont="1" applyFill="1" applyBorder="1" applyAlignment="1">
      <alignment horizontal="right" vertical="center" wrapText="1" shrinkToFit="1"/>
    </xf>
    <xf numFmtId="0" fontId="53" fillId="40" borderId="15" xfId="0" applyFont="1" applyFill="1" applyBorder="1" applyAlignment="1">
      <alignment horizontal="right" vertical="center" wrapText="1" shrinkToFit="1"/>
    </xf>
    <xf numFmtId="165" fontId="59" fillId="40" borderId="15" xfId="1" applyNumberFormat="1" applyFont="1" applyFill="1" applyBorder="1" applyAlignment="1">
      <alignment horizontal="right" vertical="center" wrapText="1" shrinkToFit="1"/>
    </xf>
    <xf numFmtId="170" fontId="53" fillId="0" borderId="0" xfId="0" applyNumberFormat="1" applyFont="1" applyFill="1" applyBorder="1" applyAlignment="1">
      <alignment horizontal="right" vertical="center" wrapText="1" shrinkToFit="1"/>
    </xf>
    <xf numFmtId="0" fontId="53" fillId="0" borderId="0" xfId="9" applyFont="1" applyAlignment="1"/>
    <xf numFmtId="0" fontId="53" fillId="0" borderId="0" xfId="9" applyFont="1"/>
    <xf numFmtId="0" fontId="83" fillId="2" borderId="0" xfId="9" applyFont="1" applyFill="1" applyBorder="1"/>
    <xf numFmtId="0" fontId="54" fillId="2" borderId="0" xfId="9" applyFont="1" applyFill="1" applyBorder="1" applyAlignment="1"/>
    <xf numFmtId="0" fontId="83" fillId="2" borderId="0" xfId="9" applyFont="1" applyFill="1" applyBorder="1" applyAlignment="1">
      <alignment horizontal="center"/>
    </xf>
    <xf numFmtId="0" fontId="54" fillId="0" borderId="0" xfId="9" applyFont="1" applyFill="1" applyBorder="1" applyAlignment="1"/>
    <xf numFmtId="0" fontId="54" fillId="0" borderId="0" xfId="9" applyFont="1" applyFill="1" applyBorder="1" applyAlignment="1">
      <alignment horizontal="center"/>
    </xf>
    <xf numFmtId="0" fontId="83" fillId="2" borderId="0" xfId="9" applyFont="1" applyFill="1" applyBorder="1" applyAlignment="1">
      <alignment horizontal="centerContinuous"/>
    </xf>
    <xf numFmtId="0" fontId="68" fillId="2" borderId="0" xfId="9" applyFont="1" applyFill="1"/>
    <xf numFmtId="0" fontId="68" fillId="2" borderId="0" xfId="9" applyFont="1" applyFill="1" applyBorder="1"/>
    <xf numFmtId="0" fontId="51" fillId="2" borderId="0" xfId="9" applyFont="1" applyFill="1" applyBorder="1" applyAlignment="1">
      <alignment horizontal="right"/>
    </xf>
    <xf numFmtId="0" fontId="53" fillId="2" borderId="0" xfId="9" applyFont="1" applyFill="1" applyBorder="1" applyAlignment="1">
      <alignment horizontal="center"/>
    </xf>
    <xf numFmtId="0" fontId="52" fillId="2" borderId="0" xfId="9" applyFont="1" applyFill="1" applyBorder="1" applyAlignment="1">
      <alignment horizontal="right"/>
    </xf>
    <xf numFmtId="166" fontId="53" fillId="2" borderId="0" xfId="9" applyNumberFormat="1" applyFont="1" applyFill="1"/>
    <xf numFmtId="166" fontId="68" fillId="2" borderId="0" xfId="9" applyNumberFormat="1" applyFont="1" applyFill="1"/>
    <xf numFmtId="174" fontId="83" fillId="2" borderId="0" xfId="9" applyNumberFormat="1" applyFont="1" applyFill="1" applyBorder="1" applyAlignment="1">
      <alignment horizontal="centerContinuous"/>
    </xf>
    <xf numFmtId="1" fontId="53" fillId="2" borderId="0" xfId="9" applyNumberFormat="1" applyFont="1" applyFill="1"/>
    <xf numFmtId="43" fontId="53" fillId="3" borderId="0" xfId="9" applyNumberFormat="1" applyFont="1" applyFill="1"/>
    <xf numFmtId="166" fontId="53" fillId="2" borderId="0" xfId="9" applyNumberFormat="1" applyFont="1" applyFill="1" applyBorder="1" applyAlignment="1">
      <alignment horizontal="center"/>
    </xf>
    <xf numFmtId="9" fontId="53" fillId="2" borderId="0" xfId="2" applyNumberFormat="1" applyFont="1" applyFill="1"/>
    <xf numFmtId="167" fontId="53" fillId="0" borderId="0" xfId="1" applyNumberFormat="1" applyFont="1" applyFill="1" applyAlignment="1">
      <alignment horizontal="right"/>
    </xf>
    <xf numFmtId="166" fontId="51" fillId="2" borderId="0" xfId="1" applyNumberFormat="1" applyFont="1" applyFill="1" applyBorder="1"/>
    <xf numFmtId="166" fontId="51" fillId="2" borderId="0" xfId="1" applyNumberFormat="1" applyFont="1" applyFill="1"/>
    <xf numFmtId="167" fontId="78" fillId="2" borderId="0" xfId="1" applyNumberFormat="1" applyFont="1" applyFill="1" applyBorder="1"/>
    <xf numFmtId="0" fontId="53" fillId="3" borderId="0" xfId="9" applyFont="1" applyFill="1"/>
    <xf numFmtId="166" fontId="51" fillId="2" borderId="0" xfId="9" applyNumberFormat="1" applyFont="1" applyFill="1" applyBorder="1" applyAlignment="1">
      <alignment horizontal="center"/>
    </xf>
    <xf numFmtId="0" fontId="85" fillId="2" borderId="0" xfId="9" applyFont="1" applyFill="1"/>
    <xf numFmtId="166" fontId="53" fillId="2" borderId="0" xfId="2" applyNumberFormat="1" applyFont="1" applyFill="1"/>
    <xf numFmtId="167" fontId="53" fillId="2" borderId="0" xfId="1" applyNumberFormat="1" applyFont="1" applyFill="1"/>
    <xf numFmtId="166" fontId="85" fillId="2" borderId="0" xfId="9" applyNumberFormat="1" applyFont="1" applyFill="1"/>
    <xf numFmtId="166" fontId="85" fillId="2" borderId="0" xfId="1" applyNumberFormat="1" applyFont="1" applyFill="1"/>
    <xf numFmtId="166" fontId="53" fillId="2" borderId="0" xfId="9" applyNumberFormat="1" applyFont="1" applyFill="1" applyBorder="1"/>
    <xf numFmtId="0" fontId="51" fillId="2" borderId="0" xfId="9" applyFont="1" applyFill="1" applyBorder="1"/>
    <xf numFmtId="0" fontId="52" fillId="3" borderId="0" xfId="9" applyFont="1" applyFill="1" applyBorder="1"/>
    <xf numFmtId="0" fontId="58" fillId="2" borderId="0" xfId="9" applyFont="1" applyFill="1" applyBorder="1"/>
    <xf numFmtId="0" fontId="68" fillId="2" borderId="0" xfId="0" applyFont="1" applyFill="1" applyBorder="1" applyAlignment="1">
      <alignment horizontal="centerContinuous"/>
    </xf>
    <xf numFmtId="166" fontId="53" fillId="2" borderId="0" xfId="1" applyNumberFormat="1" applyFont="1" applyFill="1" applyBorder="1" applyAlignment="1">
      <alignment horizontal="centerContinuous"/>
    </xf>
    <xf numFmtId="0" fontId="87" fillId="2" borderId="0" xfId="0" applyFont="1" applyFill="1" applyBorder="1" applyAlignment="1">
      <alignment horizontal="center"/>
    </xf>
    <xf numFmtId="166" fontId="56" fillId="2" borderId="0" xfId="1" applyNumberFormat="1" applyFont="1" applyFill="1" applyBorder="1" applyAlignment="1">
      <alignment horizontal="center"/>
    </xf>
    <xf numFmtId="168" fontId="68" fillId="2" borderId="0" xfId="2" applyNumberFormat="1" applyFont="1" applyFill="1" applyBorder="1"/>
    <xf numFmtId="0" fontId="68" fillId="2" borderId="0" xfId="0" applyFont="1" applyFill="1" applyBorder="1"/>
    <xf numFmtId="0" fontId="78" fillId="2" borderId="0" xfId="9" applyFont="1" applyFill="1"/>
    <xf numFmtId="0" fontId="78" fillId="2" borderId="0" xfId="9" applyFont="1" applyFill="1" applyBorder="1"/>
    <xf numFmtId="168" fontId="68" fillId="2" borderId="0" xfId="0" applyNumberFormat="1" applyFont="1" applyFill="1" applyBorder="1"/>
    <xf numFmtId="9" fontId="78" fillId="2" borderId="0" xfId="2" applyFont="1" applyFill="1" applyBorder="1"/>
    <xf numFmtId="0" fontId="68" fillId="3" borderId="0" xfId="9" applyFont="1" applyFill="1" applyBorder="1"/>
    <xf numFmtId="0" fontId="53" fillId="0" borderId="0" xfId="9" applyFont="1" applyFill="1" applyBorder="1"/>
    <xf numFmtId="0" fontId="78" fillId="0" borderId="0" xfId="9" applyFont="1" applyFill="1" applyBorder="1"/>
    <xf numFmtId="0" fontId="53" fillId="3" borderId="0" xfId="9" applyFont="1" applyFill="1" applyBorder="1"/>
    <xf numFmtId="0" fontId="53" fillId="2" borderId="0" xfId="9" applyFont="1" applyFill="1" applyAlignment="1">
      <alignment wrapText="1"/>
    </xf>
    <xf numFmtId="0" fontId="59" fillId="2" borderId="0" xfId="9" applyFont="1" applyFill="1" applyAlignment="1">
      <alignment wrapText="1"/>
    </xf>
    <xf numFmtId="0" fontId="59" fillId="2" borderId="0" xfId="9" applyFont="1" applyFill="1" applyBorder="1" applyAlignment="1">
      <alignment wrapText="1"/>
    </xf>
    <xf numFmtId="0" fontId="57" fillId="2" borderId="0" xfId="9" applyFont="1" applyFill="1" applyAlignment="1">
      <alignment wrapText="1"/>
    </xf>
    <xf numFmtId="0" fontId="53" fillId="2" borderId="0" xfId="9" applyFont="1" applyFill="1" applyBorder="1" applyAlignment="1">
      <alignment wrapText="1"/>
    </xf>
    <xf numFmtId="167" fontId="59" fillId="0" borderId="0" xfId="1" applyNumberFormat="1" applyFont="1" applyFill="1" applyAlignment="1">
      <alignment horizontal="right" wrapText="1" shrinkToFit="1"/>
    </xf>
    <xf numFmtId="0" fontId="52" fillId="2" borderId="0" xfId="1" applyNumberFormat="1" applyFont="1" applyFill="1" applyBorder="1" applyAlignment="1">
      <alignment horizontal="right" wrapText="1" shrinkToFit="1"/>
    </xf>
    <xf numFmtId="0" fontId="53" fillId="2" borderId="0" xfId="9" applyFont="1" applyFill="1" applyAlignment="1">
      <alignment horizontal="right" wrapText="1" shrinkToFit="1"/>
    </xf>
    <xf numFmtId="0" fontId="68" fillId="2" borderId="0" xfId="9" applyFont="1" applyFill="1" applyAlignment="1">
      <alignment horizontal="right" wrapText="1" shrinkToFit="1"/>
    </xf>
    <xf numFmtId="0" fontId="68" fillId="2" borderId="0" xfId="9" applyFont="1" applyFill="1" applyBorder="1" applyAlignment="1">
      <alignment horizontal="right" wrapText="1" shrinkToFit="1"/>
    </xf>
    <xf numFmtId="0" fontId="53" fillId="2" borderId="0" xfId="9" applyFont="1" applyFill="1" applyBorder="1" applyAlignment="1">
      <alignment horizontal="right" wrapText="1" shrinkToFit="1"/>
    </xf>
    <xf numFmtId="0" fontId="58" fillId="2" borderId="0" xfId="9" applyFont="1" applyFill="1" applyBorder="1" applyAlignment="1">
      <alignment horizontal="right" vertical="center" wrapText="1" shrinkToFit="1"/>
    </xf>
    <xf numFmtId="166" fontId="68" fillId="2" borderId="0" xfId="9" applyNumberFormat="1" applyFont="1" applyFill="1" applyAlignment="1">
      <alignment horizontal="right" wrapText="1" shrinkToFit="1"/>
    </xf>
    <xf numFmtId="0" fontId="53" fillId="0" borderId="0" xfId="9" applyFont="1" applyFill="1" applyAlignment="1">
      <alignment horizontal="right" wrapText="1" shrinkToFit="1"/>
    </xf>
    <xf numFmtId="0" fontId="59" fillId="2" borderId="0" xfId="9" applyFont="1" applyFill="1" applyBorder="1" applyAlignment="1">
      <alignment horizontal="right" wrapText="1" shrinkToFit="1"/>
    </xf>
    <xf numFmtId="166" fontId="68" fillId="3" borderId="0" xfId="9" applyNumberFormat="1" applyFont="1" applyFill="1" applyAlignment="1">
      <alignment horizontal="right" wrapText="1" shrinkToFit="1"/>
    </xf>
    <xf numFmtId="166" fontId="86" fillId="2" borderId="0" xfId="1" applyNumberFormat="1" applyFont="1" applyFill="1" applyBorder="1" applyAlignment="1">
      <alignment horizontal="right" wrapText="1" shrinkToFit="1"/>
    </xf>
    <xf numFmtId="0" fontId="58" fillId="2" borderId="0" xfId="9" applyFont="1" applyFill="1" applyBorder="1" applyAlignment="1">
      <alignment horizontal="right" wrapText="1" shrinkToFit="1"/>
    </xf>
    <xf numFmtId="17" fontId="52" fillId="2" borderId="0" xfId="0" applyNumberFormat="1" applyFont="1" applyFill="1" applyBorder="1" applyAlignment="1">
      <alignment horizontal="right" wrapText="1" shrinkToFit="1"/>
    </xf>
    <xf numFmtId="0" fontId="58" fillId="2" borderId="0" xfId="0" quotePrefix="1" applyNumberFormat="1" applyFont="1" applyFill="1" applyBorder="1" applyAlignment="1">
      <alignment horizontal="right" wrapText="1" shrinkToFit="1"/>
    </xf>
    <xf numFmtId="0" fontId="68" fillId="2" borderId="0" xfId="0" applyFont="1" applyFill="1" applyBorder="1" applyAlignment="1">
      <alignment horizontal="right" wrapText="1" shrinkToFit="1"/>
    </xf>
    <xf numFmtId="0" fontId="87" fillId="2" borderId="0" xfId="0" applyFont="1" applyFill="1" applyBorder="1" applyAlignment="1">
      <alignment horizontal="right" wrapText="1" shrinkToFit="1"/>
    </xf>
    <xf numFmtId="168" fontId="53" fillId="3" borderId="0" xfId="2" applyNumberFormat="1" applyFont="1" applyFill="1" applyBorder="1" applyAlignment="1">
      <alignment horizontal="right" wrapText="1" shrinkToFit="1"/>
    </xf>
    <xf numFmtId="168" fontId="68" fillId="2" borderId="0" xfId="2" applyNumberFormat="1" applyFont="1" applyFill="1" applyBorder="1" applyAlignment="1">
      <alignment horizontal="right" wrapText="1" shrinkToFit="1"/>
    </xf>
    <xf numFmtId="168" fontId="68" fillId="2" borderId="0" xfId="0" applyNumberFormat="1" applyFont="1" applyFill="1" applyBorder="1" applyAlignment="1">
      <alignment horizontal="right" wrapText="1" shrinkToFit="1"/>
    </xf>
    <xf numFmtId="0" fontId="68" fillId="3" borderId="0" xfId="9" applyFont="1" applyFill="1" applyBorder="1" applyAlignment="1">
      <alignment horizontal="right" wrapText="1" shrinkToFit="1"/>
    </xf>
    <xf numFmtId="0" fontId="53" fillId="3" borderId="0" xfId="9" applyFont="1" applyFill="1" applyBorder="1" applyAlignment="1">
      <alignment horizontal="right" wrapText="1" shrinkToFit="1"/>
    </xf>
    <xf numFmtId="0" fontId="52" fillId="2" borderId="0" xfId="9" applyFont="1" applyFill="1" applyBorder="1" applyAlignment="1">
      <alignment horizontal="right" wrapText="1" shrinkToFit="1"/>
    </xf>
    <xf numFmtId="0" fontId="84" fillId="2" borderId="0" xfId="9" applyFont="1" applyFill="1" applyBorder="1" applyAlignment="1">
      <alignment horizontal="right" wrapText="1" shrinkToFit="1"/>
    </xf>
    <xf numFmtId="0" fontId="79" fillId="2" borderId="0" xfId="9" applyFont="1" applyFill="1" applyAlignment="1">
      <alignment horizontal="right" wrapText="1" shrinkToFit="1"/>
    </xf>
    <xf numFmtId="0" fontId="86" fillId="2" borderId="0" xfId="9" applyFont="1" applyFill="1" applyAlignment="1">
      <alignment horizontal="right" wrapText="1" shrinkToFit="1"/>
    </xf>
    <xf numFmtId="168" fontId="53" fillId="2" borderId="0" xfId="2" applyNumberFormat="1" applyFont="1" applyFill="1" applyAlignment="1">
      <alignment horizontal="right" wrapText="1" shrinkToFit="1"/>
    </xf>
    <xf numFmtId="166" fontId="53" fillId="2" borderId="0" xfId="9" applyNumberFormat="1" applyFont="1" applyFill="1" applyAlignment="1">
      <alignment horizontal="right" wrapText="1" shrinkToFit="1"/>
    </xf>
    <xf numFmtId="176" fontId="53" fillId="2" borderId="0" xfId="9" applyNumberFormat="1" applyFont="1" applyFill="1" applyAlignment="1">
      <alignment horizontal="right" wrapText="1" shrinkToFit="1"/>
    </xf>
    <xf numFmtId="166" fontId="53" fillId="0" borderId="0" xfId="1" applyNumberFormat="1" applyFont="1" applyFill="1" applyAlignment="1">
      <alignment horizontal="right" wrapText="1" shrinkToFit="1"/>
    </xf>
    <xf numFmtId="176" fontId="53" fillId="0" borderId="0" xfId="9" applyNumberFormat="1" applyFont="1" applyFill="1" applyAlignment="1">
      <alignment horizontal="right" wrapText="1" shrinkToFit="1"/>
    </xf>
    <xf numFmtId="0" fontId="58" fillId="39" borderId="0" xfId="0" applyFont="1" applyFill="1" applyBorder="1" applyAlignment="1">
      <alignment vertical="center"/>
    </xf>
    <xf numFmtId="0" fontId="56" fillId="2" borderId="0" xfId="9" applyFont="1" applyFill="1" applyBorder="1" applyAlignment="1">
      <alignment horizontal="right" wrapText="1" shrinkToFit="1"/>
    </xf>
    <xf numFmtId="0" fontId="59" fillId="0" borderId="0" xfId="0" applyFont="1" applyFill="1" applyBorder="1" applyAlignment="1">
      <alignment horizontal="right" wrapText="1" shrinkToFit="1"/>
    </xf>
    <xf numFmtId="0" fontId="57" fillId="2" borderId="0" xfId="9" applyFont="1" applyFill="1" applyBorder="1" applyAlignment="1">
      <alignment horizontal="right" wrapText="1" shrinkToFit="1"/>
    </xf>
    <xf numFmtId="0" fontId="84" fillId="2" borderId="0" xfId="0" applyFont="1" applyFill="1" applyBorder="1" applyAlignment="1">
      <alignment horizontal="right" wrapText="1" shrinkToFit="1"/>
    </xf>
    <xf numFmtId="0" fontId="65" fillId="2" borderId="0" xfId="0" applyFont="1" applyFill="1" applyBorder="1" applyAlignment="1">
      <alignment horizontal="right" wrapText="1" shrinkToFit="1"/>
    </xf>
    <xf numFmtId="181" fontId="65" fillId="2" borderId="0" xfId="9" applyNumberFormat="1" applyFont="1" applyFill="1" applyBorder="1" applyAlignment="1">
      <alignment horizontal="right" vertical="center" shrinkToFit="1"/>
    </xf>
    <xf numFmtId="170" fontId="53" fillId="2" borderId="0" xfId="2" applyNumberFormat="1" applyFont="1" applyFill="1" applyBorder="1" applyAlignment="1">
      <alignment horizontal="right" wrapText="1" shrinkToFit="1"/>
    </xf>
    <xf numFmtId="166" fontId="58" fillId="2" borderId="0" xfId="1" applyNumberFormat="1" applyFont="1" applyFill="1" applyBorder="1" applyAlignment="1">
      <alignment horizontal="right"/>
    </xf>
    <xf numFmtId="0" fontId="53" fillId="2" borderId="16" xfId="9" applyFont="1" applyFill="1" applyBorder="1" applyAlignment="1">
      <alignment horizontal="right" wrapText="1" shrinkToFit="1"/>
    </xf>
    <xf numFmtId="167" fontId="59" fillId="0" borderId="16" xfId="1" applyNumberFormat="1" applyFont="1" applyFill="1" applyBorder="1" applyAlignment="1">
      <alignment horizontal="right" wrapText="1" shrinkToFit="1"/>
    </xf>
    <xf numFmtId="0" fontId="53" fillId="2" borderId="16" xfId="9" applyFont="1" applyFill="1" applyBorder="1" applyAlignment="1">
      <alignment wrapText="1"/>
    </xf>
    <xf numFmtId="166" fontId="59" fillId="2" borderId="0" xfId="9" applyNumberFormat="1" applyFont="1" applyFill="1" applyBorder="1" applyAlignment="1">
      <alignment horizontal="right" wrapText="1" shrinkToFit="1"/>
    </xf>
    <xf numFmtId="166" fontId="68" fillId="2" borderId="0" xfId="9" applyNumberFormat="1" applyFont="1" applyFill="1" applyBorder="1" applyAlignment="1">
      <alignment horizontal="right" wrapText="1" shrinkToFit="1"/>
    </xf>
    <xf numFmtId="0" fontId="85" fillId="2" borderId="0" xfId="9" applyFont="1" applyFill="1" applyBorder="1"/>
    <xf numFmtId="0" fontId="53" fillId="2" borderId="16" xfId="0" applyFont="1" applyFill="1" applyBorder="1" applyAlignment="1">
      <alignment wrapText="1"/>
    </xf>
    <xf numFmtId="0" fontId="53" fillId="3" borderId="16" xfId="0" applyFont="1" applyFill="1" applyBorder="1" applyAlignment="1">
      <alignment horizontal="right" wrapText="1" shrinkToFit="1"/>
    </xf>
    <xf numFmtId="0" fontId="84" fillId="0" borderId="15" xfId="0" applyFont="1" applyFill="1" applyBorder="1" applyAlignment="1">
      <alignment horizontal="right" wrapText="1" shrinkToFit="1"/>
    </xf>
    <xf numFmtId="0" fontId="53" fillId="2" borderId="15" xfId="0" applyFont="1" applyFill="1" applyBorder="1" applyAlignment="1">
      <alignment wrapText="1"/>
    </xf>
    <xf numFmtId="0" fontId="53" fillId="2" borderId="15" xfId="0" applyFont="1" applyFill="1" applyBorder="1" applyAlignment="1">
      <alignment horizontal="right" wrapText="1" shrinkToFit="1"/>
    </xf>
    <xf numFmtId="0" fontId="58" fillId="39" borderId="0" xfId="9" applyFont="1" applyFill="1" applyBorder="1" applyAlignment="1">
      <alignment vertical="center"/>
    </xf>
    <xf numFmtId="0" fontId="65" fillId="2" borderId="0" xfId="1" applyNumberFormat="1" applyFont="1" applyFill="1" applyBorder="1" applyAlignment="1">
      <alignment horizontal="right" wrapText="1" shrinkToFit="1"/>
    </xf>
    <xf numFmtId="0" fontId="59" fillId="40" borderId="0" xfId="9" applyFont="1" applyFill="1" applyAlignment="1">
      <alignment wrapText="1"/>
    </xf>
    <xf numFmtId="0" fontId="53" fillId="40" borderId="0" xfId="9" applyFont="1" applyFill="1" applyAlignment="1">
      <alignment horizontal="right" wrapText="1" shrinkToFit="1"/>
    </xf>
    <xf numFmtId="167" fontId="59" fillId="40" borderId="0" xfId="1" applyNumberFormat="1" applyFont="1" applyFill="1" applyAlignment="1">
      <alignment horizontal="right" wrapText="1" shrinkToFit="1"/>
    </xf>
    <xf numFmtId="0" fontId="59" fillId="40" borderId="16" xfId="9" applyFont="1" applyFill="1" applyBorder="1" applyAlignment="1">
      <alignment wrapText="1"/>
    </xf>
    <xf numFmtId="0" fontId="53" fillId="40" borderId="16" xfId="9" applyFont="1" applyFill="1" applyBorder="1" applyAlignment="1">
      <alignment horizontal="right" wrapText="1" shrinkToFit="1"/>
    </xf>
    <xf numFmtId="167" fontId="59" fillId="40" borderId="16" xfId="1" applyNumberFormat="1" applyFont="1" applyFill="1" applyBorder="1" applyAlignment="1">
      <alignment horizontal="right" wrapText="1" shrinkToFit="1"/>
    </xf>
    <xf numFmtId="0" fontId="59" fillId="40" borderId="0" xfId="0" applyFont="1" applyFill="1" applyAlignment="1">
      <alignment wrapText="1"/>
    </xf>
    <xf numFmtId="0" fontId="59" fillId="40" borderId="18" xfId="9" applyFont="1" applyFill="1" applyBorder="1" applyAlignment="1">
      <alignment wrapText="1"/>
    </xf>
    <xf numFmtId="0" fontId="59" fillId="2" borderId="15" xfId="9" applyFont="1" applyFill="1" applyBorder="1" applyAlignment="1">
      <alignment horizontal="right" wrapText="1" shrinkToFit="1"/>
    </xf>
    <xf numFmtId="0" fontId="53" fillId="40" borderId="18" xfId="9" applyFont="1" applyFill="1" applyBorder="1" applyAlignment="1">
      <alignment horizontal="right" wrapText="1" shrinkToFit="1"/>
    </xf>
    <xf numFmtId="0" fontId="58" fillId="3" borderId="0" xfId="3" applyFont="1" applyFill="1" applyBorder="1" applyAlignment="1">
      <alignment horizontal="center" vertical="center" wrapText="1" shrinkToFit="1"/>
    </xf>
    <xf numFmtId="0" fontId="65" fillId="3" borderId="0" xfId="0" applyFont="1" applyFill="1" applyBorder="1" applyAlignment="1">
      <alignment horizontal="right"/>
    </xf>
    <xf numFmtId="167" fontId="68" fillId="3" borderId="0" xfId="1" applyNumberFormat="1" applyFont="1" applyFill="1" applyBorder="1" applyAlignment="1">
      <alignment horizontal="right" wrapText="1" shrinkToFit="1"/>
    </xf>
    <xf numFmtId="168" fontId="51" fillId="3" borderId="0" xfId="2" applyNumberFormat="1" applyFont="1" applyFill="1" applyBorder="1" applyAlignment="1">
      <alignment horizontal="right" wrapText="1" shrinkToFit="1"/>
    </xf>
    <xf numFmtId="9" fontId="53" fillId="3" borderId="0" xfId="2" applyFont="1" applyFill="1" applyBorder="1" applyAlignment="1"/>
    <xf numFmtId="0" fontId="70" fillId="3" borderId="0" xfId="3" applyFont="1" applyFill="1" applyBorder="1" applyAlignment="1">
      <alignment vertical="top" wrapText="1"/>
    </xf>
    <xf numFmtId="0" fontId="53" fillId="3" borderId="0" xfId="0" applyFont="1" applyFill="1" applyBorder="1" applyAlignment="1">
      <alignment horizontal="center"/>
    </xf>
    <xf numFmtId="43" fontId="68" fillId="3" borderId="0" xfId="0" applyNumberFormat="1" applyFont="1" applyFill="1" applyBorder="1" applyAlignment="1">
      <alignment horizontal="right" wrapText="1" shrinkToFit="1"/>
    </xf>
    <xf numFmtId="166" fontId="51" fillId="0" borderId="0" xfId="1" applyNumberFormat="1" applyFont="1" applyFill="1" applyAlignment="1">
      <alignment horizontal="right" wrapText="1" shrinkToFit="1"/>
    </xf>
    <xf numFmtId="166" fontId="51" fillId="40" borderId="0" xfId="1" applyNumberFormat="1" applyFont="1" applyFill="1" applyAlignment="1">
      <alignment horizontal="right" wrapText="1" shrinkToFit="1"/>
    </xf>
    <xf numFmtId="166" fontId="51" fillId="40" borderId="16" xfId="1" applyNumberFormat="1" applyFont="1" applyFill="1" applyBorder="1" applyAlignment="1">
      <alignment horizontal="right" wrapText="1" shrinkToFit="1"/>
    </xf>
    <xf numFmtId="166" fontId="52" fillId="3" borderId="16" xfId="1" applyNumberFormat="1" applyFont="1" applyFill="1" applyBorder="1" applyAlignment="1">
      <alignment horizontal="right" wrapText="1" shrinkToFit="1"/>
    </xf>
    <xf numFmtId="168" fontId="53" fillId="3" borderId="15" xfId="2" applyNumberFormat="1" applyFont="1" applyFill="1" applyBorder="1" applyAlignment="1">
      <alignment vertical="center" wrapText="1" shrinkToFit="1"/>
    </xf>
    <xf numFmtId="168" fontId="53" fillId="3" borderId="0" xfId="2" applyNumberFormat="1" applyFont="1" applyFill="1" applyBorder="1" applyAlignment="1">
      <alignment horizontal="right" vertical="center" wrapText="1" shrinkToFit="1"/>
    </xf>
    <xf numFmtId="168" fontId="53" fillId="3" borderId="15" xfId="2" applyNumberFormat="1" applyFont="1" applyFill="1" applyBorder="1" applyAlignment="1">
      <alignment horizontal="right" vertical="center" wrapText="1" shrinkToFit="1"/>
    </xf>
    <xf numFmtId="0" fontId="53" fillId="40" borderId="0" xfId="0" applyFont="1" applyFill="1" applyBorder="1" applyAlignment="1">
      <alignment horizontal="left" vertical="center" indent="1"/>
    </xf>
    <xf numFmtId="168" fontId="53" fillId="40" borderId="0" xfId="2" applyNumberFormat="1" applyFont="1" applyFill="1" applyBorder="1" applyAlignment="1">
      <alignment horizontal="right" wrapText="1" shrinkToFit="1"/>
    </xf>
    <xf numFmtId="0" fontId="53" fillId="2" borderId="0" xfId="0" applyFont="1" applyFill="1" applyBorder="1" applyAlignment="1">
      <alignment horizontal="left" vertical="center" indent="1"/>
    </xf>
    <xf numFmtId="0" fontId="53" fillId="40" borderId="16" xfId="0" applyFont="1" applyFill="1" applyBorder="1" applyAlignment="1">
      <alignment horizontal="left" vertical="center" indent="1"/>
    </xf>
    <xf numFmtId="0" fontId="53" fillId="2" borderId="16" xfId="0" applyFont="1" applyFill="1" applyBorder="1" applyAlignment="1">
      <alignment vertical="center" wrapText="1"/>
    </xf>
    <xf numFmtId="168" fontId="53" fillId="40" borderId="1" xfId="2" applyNumberFormat="1" applyFont="1" applyFill="1" applyBorder="1" applyAlignment="1">
      <alignment horizontal="right" wrapText="1" shrinkToFit="1"/>
    </xf>
    <xf numFmtId="0" fontId="59" fillId="0" borderId="15" xfId="9" applyFont="1" applyFill="1" applyBorder="1" applyAlignment="1">
      <alignment vertical="center" wrapText="1"/>
    </xf>
    <xf numFmtId="0" fontId="59" fillId="0" borderId="15" xfId="9" applyFont="1" applyFill="1" applyBorder="1" applyAlignment="1">
      <alignment horizontal="right" vertical="center" wrapText="1" shrinkToFit="1"/>
    </xf>
    <xf numFmtId="0" fontId="53" fillId="2" borderId="15" xfId="9" applyFont="1" applyFill="1" applyBorder="1" applyAlignment="1">
      <alignment horizontal="right" vertical="center" wrapText="1" shrinkToFit="1"/>
    </xf>
    <xf numFmtId="166" fontId="52" fillId="0" borderId="0" xfId="0" applyNumberFormat="1" applyFont="1" applyFill="1" applyAlignment="1">
      <alignment horizontal="right" wrapText="1" shrinkToFit="1"/>
    </xf>
    <xf numFmtId="166" fontId="51" fillId="0" borderId="0" xfId="0" applyNumberFormat="1" applyFont="1" applyFill="1" applyBorder="1" applyAlignment="1">
      <alignment horizontal="right" wrapText="1" shrinkToFit="1"/>
    </xf>
    <xf numFmtId="166" fontId="52" fillId="3" borderId="0" xfId="1" applyNumberFormat="1" applyFont="1" applyFill="1" applyBorder="1" applyAlignment="1">
      <alignment horizontal="right" wrapText="1" shrinkToFit="1"/>
    </xf>
    <xf numFmtId="166" fontId="52" fillId="40" borderId="16" xfId="1" applyNumberFormat="1" applyFont="1" applyFill="1" applyBorder="1" applyAlignment="1">
      <alignment horizontal="right" wrapText="1" shrinkToFit="1"/>
    </xf>
    <xf numFmtId="167" fontId="53" fillId="0" borderId="0" xfId="1" applyNumberFormat="1" applyFont="1" applyFill="1" applyAlignment="1">
      <alignment horizontal="right" wrapText="1" shrinkToFit="1"/>
    </xf>
    <xf numFmtId="166" fontId="52" fillId="40" borderId="16" xfId="1" applyNumberFormat="1" applyFont="1" applyFill="1" applyBorder="1" applyAlignment="1">
      <alignment horizontal="right" vertical="center" wrapText="1" shrinkToFit="1"/>
    </xf>
    <xf numFmtId="166" fontId="52" fillId="2" borderId="17" xfId="1" applyNumberFormat="1" applyFont="1" applyFill="1" applyBorder="1" applyAlignment="1">
      <alignment horizontal="right" vertical="center" wrapText="1" shrinkToFit="1"/>
    </xf>
    <xf numFmtId="166" fontId="52" fillId="40" borderId="0" xfId="1" applyNumberFormat="1" applyFont="1" applyFill="1" applyBorder="1" applyAlignment="1">
      <alignment horizontal="right" vertical="center" wrapText="1" shrinkToFit="1"/>
    </xf>
    <xf numFmtId="166" fontId="52" fillId="40" borderId="17" xfId="1" applyNumberFormat="1" applyFont="1" applyFill="1" applyBorder="1" applyAlignment="1">
      <alignment horizontal="right" vertical="center" wrapText="1" shrinkToFit="1"/>
    </xf>
    <xf numFmtId="166" fontId="52" fillId="2" borderId="16" xfId="1" applyNumberFormat="1" applyFont="1" applyFill="1" applyBorder="1" applyAlignment="1">
      <alignment horizontal="right" vertical="center" wrapText="1" shrinkToFit="1"/>
    </xf>
    <xf numFmtId="166" fontId="52" fillId="2" borderId="0" xfId="1" applyNumberFormat="1" applyFont="1" applyFill="1" applyBorder="1" applyAlignment="1">
      <alignment horizontal="right" wrapText="1" shrinkToFit="1"/>
    </xf>
    <xf numFmtId="166" fontId="52" fillId="40" borderId="15" xfId="1" applyNumberFormat="1" applyFont="1" applyFill="1" applyBorder="1" applyAlignment="1">
      <alignment horizontal="right" vertical="center" wrapText="1" shrinkToFit="1"/>
    </xf>
    <xf numFmtId="166" fontId="52" fillId="3" borderId="15" xfId="1" applyNumberFormat="1" applyFont="1" applyFill="1" applyBorder="1" applyAlignment="1">
      <alignment horizontal="right" vertical="center" wrapText="1" shrinkToFit="1"/>
    </xf>
    <xf numFmtId="166" fontId="52" fillId="2" borderId="15" xfId="1" applyNumberFormat="1" applyFont="1" applyFill="1" applyBorder="1" applyAlignment="1">
      <alignment horizontal="right" vertical="center" wrapText="1" shrinkToFit="1"/>
    </xf>
    <xf numFmtId="165" fontId="51" fillId="0" borderId="0" xfId="1" applyFont="1" applyFill="1" applyAlignment="1">
      <alignment horizontal="right" vertical="center" wrapText="1" shrinkToFit="1"/>
    </xf>
    <xf numFmtId="165" fontId="51" fillId="40" borderId="0" xfId="1" applyNumberFormat="1" applyFont="1" applyFill="1" applyAlignment="1">
      <alignment horizontal="right" vertical="center" wrapText="1" shrinkToFit="1"/>
    </xf>
    <xf numFmtId="10" fontId="51" fillId="40" borderId="15" xfId="2" applyNumberFormat="1" applyFont="1" applyFill="1" applyBorder="1" applyAlignment="1">
      <alignment horizontal="right" vertical="center" wrapText="1" shrinkToFit="1"/>
    </xf>
    <xf numFmtId="166" fontId="52" fillId="3" borderId="17" xfId="1" applyNumberFormat="1" applyFont="1" applyFill="1" applyBorder="1" applyAlignment="1">
      <alignment horizontal="right" vertical="center" wrapText="1" shrinkToFit="1"/>
    </xf>
    <xf numFmtId="166" fontId="52" fillId="40" borderId="0" xfId="1" applyNumberFormat="1" applyFont="1" applyFill="1" applyBorder="1" applyAlignment="1">
      <alignment horizontal="right" wrapText="1" shrinkToFit="1"/>
    </xf>
    <xf numFmtId="167" fontId="52" fillId="40" borderId="15" xfId="1" applyNumberFormat="1" applyFont="1" applyFill="1" applyBorder="1" applyAlignment="1">
      <alignment horizontal="right" vertical="center" wrapText="1" shrinkToFit="1"/>
    </xf>
    <xf numFmtId="166" fontId="52" fillId="0" borderId="16" xfId="1" applyNumberFormat="1" applyFont="1" applyFill="1" applyBorder="1" applyAlignment="1">
      <alignment horizontal="right" vertical="center" wrapText="1" shrinkToFit="1"/>
    </xf>
    <xf numFmtId="37" fontId="52" fillId="3" borderId="0" xfId="0" applyNumberFormat="1" applyFont="1" applyFill="1" applyAlignment="1">
      <alignment horizontal="right" vertical="center" wrapText="1" shrinkToFit="1"/>
    </xf>
    <xf numFmtId="0" fontId="52" fillId="3" borderId="0" xfId="0" applyFont="1" applyFill="1" applyBorder="1" applyAlignment="1">
      <alignment horizontal="right" vertical="center" wrapText="1" shrinkToFit="1"/>
    </xf>
    <xf numFmtId="166" fontId="52" fillId="2" borderId="17" xfId="1" applyNumberFormat="1" applyFont="1" applyFill="1" applyBorder="1" applyAlignment="1">
      <alignment horizontal="right" wrapText="1" shrinkToFit="1"/>
    </xf>
    <xf numFmtId="166" fontId="52" fillId="3" borderId="17" xfId="1" applyNumberFormat="1" applyFont="1" applyFill="1" applyBorder="1" applyAlignment="1">
      <alignment horizontal="right" wrapText="1" shrinkToFit="1"/>
    </xf>
    <xf numFmtId="166" fontId="52" fillId="0" borderId="16" xfId="1" applyNumberFormat="1" applyFont="1" applyFill="1" applyBorder="1" applyAlignment="1">
      <alignment horizontal="right" wrapText="1" shrinkToFit="1"/>
    </xf>
    <xf numFmtId="37" fontId="52" fillId="2" borderId="0" xfId="0" applyNumberFormat="1" applyFont="1" applyFill="1" applyAlignment="1">
      <alignment horizontal="right" wrapText="1" shrinkToFit="1"/>
    </xf>
    <xf numFmtId="0" fontId="52" fillId="3" borderId="0" xfId="0" applyFont="1" applyFill="1" applyBorder="1" applyAlignment="1">
      <alignment horizontal="right" wrapText="1" shrinkToFit="1"/>
    </xf>
    <xf numFmtId="0" fontId="52" fillId="3" borderId="0" xfId="0" applyFont="1" applyFill="1" applyAlignment="1">
      <alignment horizontal="right" vertical="center" wrapText="1" shrinkToFit="1"/>
    </xf>
    <xf numFmtId="165" fontId="52" fillId="3" borderId="0" xfId="1" applyNumberFormat="1" applyFont="1" applyFill="1" applyBorder="1" applyAlignment="1">
      <alignment horizontal="right" vertical="center" wrapText="1" shrinkToFit="1"/>
    </xf>
    <xf numFmtId="0" fontId="63" fillId="0" borderId="14" xfId="9" applyFont="1" applyFill="1" applyBorder="1" applyAlignment="1">
      <alignment horizontal="center" vertical="center" wrapText="1" shrinkToFit="1"/>
    </xf>
    <xf numFmtId="0" fontId="52" fillId="0" borderId="15" xfId="0" applyFont="1" applyFill="1" applyBorder="1" applyAlignment="1">
      <alignment vertical="center" wrapText="1"/>
    </xf>
    <xf numFmtId="0" fontId="88" fillId="0" borderId="14" xfId="0" applyFont="1" applyBorder="1" applyAlignment="1">
      <alignment vertical="center" wrapText="1"/>
    </xf>
    <xf numFmtId="0" fontId="58" fillId="3" borderId="0" xfId="0" applyFont="1" applyFill="1" applyBorder="1" applyAlignment="1">
      <alignment vertical="center" wrapText="1"/>
    </xf>
    <xf numFmtId="0" fontId="52" fillId="3" borderId="0" xfId="3" applyFont="1" applyFill="1" applyBorder="1" applyAlignment="1">
      <alignment horizontal="right" vertical="center" wrapText="1" shrinkToFit="1"/>
    </xf>
    <xf numFmtId="0" fontId="52" fillId="0" borderId="0" xfId="0" applyFont="1" applyFill="1" applyBorder="1" applyAlignment="1">
      <alignment vertical="center" wrapText="1"/>
    </xf>
    <xf numFmtId="0" fontId="84" fillId="0" borderId="0" xfId="0" applyFont="1" applyFill="1" applyBorder="1" applyAlignment="1">
      <alignment horizontal="right" wrapText="1" shrinkToFit="1"/>
    </xf>
    <xf numFmtId="0" fontId="59" fillId="3" borderId="0" xfId="0" applyFont="1" applyFill="1" applyBorder="1" applyAlignment="1">
      <alignment vertical="center" wrapText="1"/>
    </xf>
    <xf numFmtId="10" fontId="51" fillId="3" borderId="0" xfId="2" applyNumberFormat="1" applyFont="1" applyFill="1" applyBorder="1" applyAlignment="1">
      <alignment horizontal="right" vertical="center" wrapText="1" shrinkToFit="1"/>
    </xf>
    <xf numFmtId="165" fontId="59" fillId="3" borderId="0" xfId="1" applyNumberFormat="1" applyFont="1" applyFill="1" applyBorder="1" applyAlignment="1">
      <alignment horizontal="right" vertical="center" wrapText="1" shrinkToFit="1"/>
    </xf>
    <xf numFmtId="0" fontId="62" fillId="3" borderId="0" xfId="0" applyFont="1" applyFill="1" applyBorder="1" applyAlignment="1">
      <alignment vertical="center" wrapText="1" shrinkToFit="1"/>
    </xf>
    <xf numFmtId="166" fontId="52" fillId="40" borderId="18" xfId="1" applyNumberFormat="1" applyFont="1" applyFill="1" applyBorder="1" applyAlignment="1">
      <alignment horizontal="right" vertical="center" wrapText="1" shrinkToFit="1"/>
    </xf>
    <xf numFmtId="167" fontId="59" fillId="40" borderId="18" xfId="1" applyNumberFormat="1" applyFont="1" applyFill="1" applyBorder="1" applyAlignment="1">
      <alignment horizontal="right" vertical="center" wrapText="1" shrinkToFit="1"/>
    </xf>
    <xf numFmtId="166" fontId="51" fillId="0" borderId="0" xfId="1" applyNumberFormat="1" applyFont="1" applyFill="1" applyAlignment="1">
      <alignment horizontal="right" vertical="center" wrapText="1" shrinkToFit="1"/>
    </xf>
    <xf numFmtId="166" fontId="51" fillId="40" borderId="0" xfId="1" applyNumberFormat="1" applyFont="1" applyFill="1" applyAlignment="1">
      <alignment horizontal="right" vertical="center" wrapText="1" shrinkToFit="1"/>
    </xf>
    <xf numFmtId="166" fontId="51" fillId="3" borderId="0" xfId="1" applyNumberFormat="1" applyFont="1" applyFill="1" applyAlignment="1">
      <alignment horizontal="right" vertical="center" wrapText="1" shrinkToFit="1"/>
    </xf>
    <xf numFmtId="166" fontId="51" fillId="40" borderId="16" xfId="1" applyNumberFormat="1" applyFont="1" applyFill="1" applyBorder="1" applyAlignment="1">
      <alignment horizontal="right" vertical="center" wrapText="1" shrinkToFit="1"/>
    </xf>
    <xf numFmtId="166" fontId="51" fillId="3" borderId="0" xfId="1" applyNumberFormat="1" applyFont="1" applyFill="1" applyBorder="1" applyAlignment="1">
      <alignment horizontal="right" vertical="center" wrapText="1" shrinkToFit="1"/>
    </xf>
    <xf numFmtId="166" fontId="52" fillId="3" borderId="18" xfId="1" applyNumberFormat="1" applyFont="1" applyFill="1" applyBorder="1" applyAlignment="1">
      <alignment horizontal="right" vertical="center" wrapText="1" shrinkToFit="1"/>
    </xf>
    <xf numFmtId="0" fontId="90" fillId="2" borderId="0" xfId="0" applyFont="1" applyFill="1" applyBorder="1" applyAlignment="1">
      <alignment horizontal="right" wrapText="1" shrinkToFit="1"/>
    </xf>
    <xf numFmtId="167" fontId="53" fillId="3" borderId="18" xfId="1" applyNumberFormat="1" applyFont="1" applyFill="1" applyBorder="1" applyAlignment="1">
      <alignment horizontal="right" vertical="center" wrapText="1" shrinkToFit="1"/>
    </xf>
    <xf numFmtId="180" fontId="52" fillId="40" borderId="15" xfId="0" applyNumberFormat="1" applyFont="1" applyFill="1" applyBorder="1" applyAlignment="1">
      <alignment horizontal="right" vertical="center" wrapText="1" shrinkToFit="1"/>
    </xf>
    <xf numFmtId="180" fontId="68" fillId="40" borderId="15" xfId="0" applyNumberFormat="1" applyFont="1" applyFill="1" applyBorder="1" applyAlignment="1">
      <alignment horizontal="right" vertical="center" wrapText="1" shrinkToFit="1"/>
    </xf>
    <xf numFmtId="180" fontId="53" fillId="40" borderId="15" xfId="4" applyNumberFormat="1" applyFont="1" applyFill="1" applyBorder="1" applyAlignment="1">
      <alignment horizontal="right" vertical="center" wrapText="1" shrinkToFit="1"/>
    </xf>
    <xf numFmtId="9" fontId="17" fillId="2" borderId="0" xfId="2" applyFont="1" applyFill="1" applyBorder="1"/>
    <xf numFmtId="0" fontId="53" fillId="3" borderId="0" xfId="3" applyFont="1" applyFill="1" applyBorder="1" applyAlignment="1">
      <alignment vertical="center" wrapText="1"/>
    </xf>
    <xf numFmtId="167" fontId="52" fillId="3" borderId="15" xfId="1" applyNumberFormat="1" applyFont="1" applyFill="1" applyBorder="1" applyAlignment="1">
      <alignment horizontal="right" vertical="center" wrapText="1" shrinkToFit="1"/>
    </xf>
    <xf numFmtId="166" fontId="22" fillId="41" borderId="0" xfId="1" applyNumberFormat="1" applyFont="1" applyFill="1" applyBorder="1"/>
    <xf numFmtId="166" fontId="22" fillId="41" borderId="2" xfId="1" quotePrefix="1" applyNumberFormat="1" applyFont="1" applyFill="1" applyBorder="1" applyAlignment="1">
      <alignment horizontal="left"/>
    </xf>
    <xf numFmtId="0" fontId="59" fillId="2" borderId="0" xfId="0" applyFont="1" applyFill="1" applyAlignment="1">
      <alignment wrapText="1"/>
    </xf>
    <xf numFmtId="0" fontId="52" fillId="2" borderId="0" xfId="0" applyFont="1" applyFill="1" applyAlignment="1">
      <alignment horizontal="center" vertical="center" wrapText="1"/>
    </xf>
    <xf numFmtId="0" fontId="59" fillId="2" borderId="16" xfId="0" applyFont="1" applyFill="1" applyBorder="1" applyAlignment="1">
      <alignment horizontal="left" wrapText="1"/>
    </xf>
    <xf numFmtId="170" fontId="77" fillId="40" borderId="0" xfId="0" applyNumberFormat="1" applyFont="1" applyFill="1" applyAlignment="1">
      <alignment horizontal="right" vertical="center" wrapText="1" shrinkToFit="1"/>
    </xf>
    <xf numFmtId="170" fontId="77" fillId="0" borderId="16" xfId="0" applyNumberFormat="1" applyFont="1" applyFill="1" applyBorder="1" applyAlignment="1">
      <alignment horizontal="right" vertical="center" wrapText="1" shrinkToFit="1"/>
    </xf>
    <xf numFmtId="0" fontId="77" fillId="3" borderId="15" xfId="0" applyFont="1" applyFill="1" applyBorder="1" applyAlignment="1">
      <alignment horizontal="right" vertical="center" wrapText="1" shrinkToFit="1"/>
    </xf>
    <xf numFmtId="167" fontId="77" fillId="3" borderId="15" xfId="1" applyNumberFormat="1" applyFont="1" applyFill="1" applyBorder="1" applyAlignment="1">
      <alignment horizontal="right" vertical="center" wrapText="1" shrinkToFit="1"/>
    </xf>
    <xf numFmtId="170" fontId="77" fillId="0" borderId="15" xfId="0" applyNumberFormat="1" applyFont="1" applyFill="1" applyBorder="1" applyAlignment="1">
      <alignment horizontal="right" vertical="center" wrapText="1" shrinkToFit="1"/>
    </xf>
    <xf numFmtId="173" fontId="52" fillId="3" borderId="0" xfId="4" applyNumberFormat="1" applyFont="1" applyFill="1" applyBorder="1" applyAlignment="1">
      <alignment horizontal="right" vertical="center" wrapText="1" shrinkToFit="1"/>
    </xf>
    <xf numFmtId="37" fontId="52" fillId="3" borderId="0" xfId="0" applyNumberFormat="1" applyFont="1" applyFill="1" applyAlignment="1">
      <alignment horizontal="right" wrapText="1" shrinkToFit="1"/>
    </xf>
    <xf numFmtId="0" fontId="52" fillId="3" borderId="0" xfId="0" applyFont="1" applyFill="1" applyAlignment="1">
      <alignment horizontal="right" wrapText="1" shrinkToFit="1"/>
    </xf>
    <xf numFmtId="167" fontId="52" fillId="3" borderId="0" xfId="1" applyNumberFormat="1" applyFont="1" applyFill="1" applyBorder="1" applyAlignment="1">
      <alignment horizontal="right" wrapText="1" shrinkToFit="1"/>
    </xf>
    <xf numFmtId="0" fontId="31" fillId="2" borderId="0" xfId="0" applyFont="1" applyFill="1"/>
    <xf numFmtId="0" fontId="31" fillId="2" borderId="0" xfId="0" applyFont="1" applyFill="1" applyBorder="1"/>
    <xf numFmtId="166" fontId="31" fillId="2" borderId="0" xfId="1" applyNumberFormat="1" applyFont="1" applyFill="1"/>
    <xf numFmtId="1" fontId="31" fillId="2" borderId="0" xfId="0" applyNumberFormat="1" applyFont="1" applyFill="1"/>
    <xf numFmtId="37" fontId="52" fillId="40" borderId="0" xfId="0" applyNumberFormat="1" applyFont="1" applyFill="1" applyAlignment="1">
      <alignment horizontal="right" vertical="center"/>
    </xf>
    <xf numFmtId="0" fontId="53" fillId="40" borderId="0" xfId="0" applyFont="1" applyFill="1" applyAlignment="1">
      <alignment horizontal="right" vertical="center"/>
    </xf>
    <xf numFmtId="0" fontId="53" fillId="40" borderId="0" xfId="0" applyFont="1" applyFill="1" applyBorder="1" applyAlignment="1">
      <alignment horizontal="right" vertical="center"/>
    </xf>
    <xf numFmtId="173" fontId="53" fillId="40" borderId="0" xfId="4" applyNumberFormat="1" applyFont="1" applyFill="1" applyBorder="1" applyAlignment="1">
      <alignment horizontal="right" vertical="center"/>
    </xf>
    <xf numFmtId="166" fontId="68" fillId="3" borderId="0" xfId="1" applyNumberFormat="1" applyFont="1" applyFill="1" applyBorder="1" applyAlignment="1">
      <alignment horizontal="right" vertical="center"/>
    </xf>
    <xf numFmtId="0" fontId="68" fillId="3" borderId="0" xfId="0" applyFont="1" applyFill="1" applyAlignment="1">
      <alignment horizontal="right" vertical="center"/>
    </xf>
    <xf numFmtId="170" fontId="68" fillId="3" borderId="0" xfId="0" applyNumberFormat="1" applyFont="1" applyFill="1" applyAlignment="1">
      <alignment horizontal="right" vertical="center"/>
    </xf>
    <xf numFmtId="173" fontId="53" fillId="40" borderId="0" xfId="4" applyNumberFormat="1" applyFont="1" applyFill="1" applyBorder="1" applyAlignment="1">
      <alignment horizontal="right" vertical="center" wrapText="1" shrinkToFit="1"/>
    </xf>
    <xf numFmtId="166" fontId="53" fillId="3" borderId="0" xfId="1" applyNumberFormat="1" applyFont="1" applyFill="1" applyBorder="1" applyAlignment="1">
      <alignment horizontal="right" vertical="center"/>
    </xf>
    <xf numFmtId="0" fontId="53" fillId="3" borderId="0" xfId="0" applyFont="1" applyFill="1" applyAlignment="1">
      <alignment horizontal="right" vertical="center"/>
    </xf>
    <xf numFmtId="173" fontId="53" fillId="3" borderId="0" xfId="4" applyNumberFormat="1" applyFont="1" applyFill="1" applyBorder="1" applyAlignment="1">
      <alignment horizontal="right" vertical="center"/>
    </xf>
    <xf numFmtId="0" fontId="53" fillId="3" borderId="0" xfId="3" applyFont="1" applyFill="1" applyBorder="1" applyAlignment="1">
      <alignment horizontal="right" vertical="center"/>
    </xf>
    <xf numFmtId="0" fontId="53" fillId="0" borderId="0" xfId="3" applyFont="1" applyFill="1" applyBorder="1" applyAlignment="1">
      <alignment horizontal="right" vertical="center" wrapText="1" shrinkToFit="1"/>
    </xf>
    <xf numFmtId="167" fontId="53" fillId="3" borderId="0" xfId="1" applyNumberFormat="1" applyFont="1" applyFill="1" applyBorder="1" applyAlignment="1">
      <alignment horizontal="right" vertical="center"/>
    </xf>
    <xf numFmtId="0" fontId="53" fillId="3" borderId="0" xfId="0" applyFont="1" applyFill="1" applyBorder="1" applyAlignment="1">
      <alignment horizontal="right" vertical="center"/>
    </xf>
    <xf numFmtId="0" fontId="53" fillId="3" borderId="0" xfId="3" applyFont="1" applyFill="1" applyAlignment="1">
      <alignment horizontal="right" vertical="center"/>
    </xf>
    <xf numFmtId="0" fontId="71" fillId="2" borderId="0" xfId="0" applyFont="1" applyFill="1" applyBorder="1" applyAlignment="1">
      <alignment horizontal="left" vertical="center" wrapText="1"/>
    </xf>
    <xf numFmtId="0" fontId="53" fillId="0" borderId="0" xfId="0" applyFont="1" applyFill="1" applyBorder="1" applyAlignment="1">
      <alignment vertical="center" shrinkToFit="1"/>
    </xf>
    <xf numFmtId="0" fontId="53" fillId="0" borderId="0" xfId="0" applyFont="1" applyFill="1" applyAlignment="1">
      <alignment vertical="center" shrinkToFit="1"/>
    </xf>
    <xf numFmtId="0" fontId="53" fillId="0" borderId="0" xfId="0" applyFont="1" applyFill="1" applyBorder="1" applyAlignment="1">
      <alignment vertical="center"/>
    </xf>
    <xf numFmtId="0" fontId="53" fillId="0" borderId="0" xfId="0" applyFont="1" applyFill="1" applyBorder="1" applyAlignment="1">
      <alignment horizontal="center" vertical="center"/>
    </xf>
    <xf numFmtId="0" fontId="53" fillId="0" borderId="0" xfId="0" applyFont="1" applyFill="1" applyAlignment="1">
      <alignment vertical="center" wrapText="1"/>
    </xf>
    <xf numFmtId="168" fontId="51" fillId="0" borderId="0" xfId="2" applyNumberFormat="1" applyFont="1" applyFill="1" applyBorder="1" applyAlignment="1">
      <alignment vertical="center"/>
    </xf>
    <xf numFmtId="169" fontId="59" fillId="0" borderId="0" xfId="1" applyNumberFormat="1" applyFont="1" applyFill="1" applyBorder="1" applyAlignment="1">
      <alignment vertical="center"/>
    </xf>
    <xf numFmtId="0" fontId="59" fillId="0" borderId="0" xfId="0" applyFont="1" applyFill="1" applyBorder="1" applyAlignment="1">
      <alignment vertical="center"/>
    </xf>
    <xf numFmtId="167" fontId="59" fillId="0" borderId="0" xfId="1" applyNumberFormat="1" applyFont="1" applyFill="1" applyBorder="1" applyAlignment="1">
      <alignment vertical="center"/>
    </xf>
    <xf numFmtId="166" fontId="59" fillId="0" borderId="0" xfId="1" applyNumberFormat="1" applyFont="1" applyFill="1" applyBorder="1" applyAlignment="1">
      <alignment vertical="center"/>
    </xf>
    <xf numFmtId="0" fontId="53" fillId="0" borderId="0" xfId="3" applyFont="1" applyFill="1" applyBorder="1" applyAlignment="1">
      <alignment vertical="center"/>
    </xf>
    <xf numFmtId="167" fontId="59" fillId="0" borderId="0" xfId="1" applyNumberFormat="1" applyFont="1" applyFill="1" applyBorder="1" applyAlignment="1">
      <alignment horizontal="right" vertical="center"/>
    </xf>
    <xf numFmtId="0" fontId="55" fillId="0" borderId="0" xfId="0" applyFont="1" applyFill="1" applyBorder="1" applyAlignment="1">
      <alignment vertical="center"/>
    </xf>
    <xf numFmtId="167" fontId="52" fillId="0" borderId="0" xfId="1" applyNumberFormat="1" applyFont="1" applyFill="1" applyBorder="1" applyAlignment="1">
      <alignment vertical="center"/>
    </xf>
    <xf numFmtId="43" fontId="53" fillId="0" borderId="0" xfId="3" applyNumberFormat="1" applyFont="1" applyFill="1" applyBorder="1" applyAlignment="1">
      <alignment vertical="center"/>
    </xf>
    <xf numFmtId="43" fontId="53" fillId="0" borderId="0" xfId="0" applyNumberFormat="1" applyFont="1" applyFill="1" applyBorder="1" applyAlignment="1">
      <alignment vertical="center"/>
    </xf>
    <xf numFmtId="0" fontId="4" fillId="0" borderId="0" xfId="0" applyFont="1" applyFill="1" applyBorder="1"/>
    <xf numFmtId="166" fontId="4" fillId="0" borderId="0" xfId="0" applyNumberFormat="1" applyFont="1" applyFill="1" applyBorder="1"/>
    <xf numFmtId="0" fontId="93" fillId="0" borderId="0" xfId="0" applyFont="1" applyFill="1" applyBorder="1"/>
    <xf numFmtId="166" fontId="53" fillId="0" borderId="0" xfId="0" applyNumberFormat="1" applyFont="1" applyFill="1" applyBorder="1" applyAlignment="1">
      <alignment vertical="center"/>
    </xf>
    <xf numFmtId="1" fontId="4" fillId="0" borderId="0" xfId="0" applyNumberFormat="1" applyFont="1" applyFill="1" applyBorder="1"/>
    <xf numFmtId="1" fontId="53" fillId="0" borderId="0" xfId="0" applyNumberFormat="1" applyFont="1" applyFill="1" applyBorder="1" applyAlignment="1">
      <alignment vertical="center"/>
    </xf>
    <xf numFmtId="0" fontId="56" fillId="0" borderId="0" xfId="0" applyFont="1" applyFill="1" applyBorder="1" applyAlignment="1">
      <alignment vertical="center"/>
    </xf>
    <xf numFmtId="0" fontId="51" fillId="0" borderId="0" xfId="0" quotePrefix="1" applyFont="1" applyFill="1" applyBorder="1" applyAlignment="1">
      <alignment horizontal="right" vertical="center"/>
    </xf>
    <xf numFmtId="166" fontId="53" fillId="0" borderId="0" xfId="1" applyNumberFormat="1" applyFont="1" applyFill="1" applyBorder="1" applyAlignment="1">
      <alignment vertical="center"/>
    </xf>
    <xf numFmtId="0" fontId="52" fillId="0" borderId="0" xfId="9" applyFont="1" applyFill="1" applyBorder="1" applyAlignment="1">
      <alignment vertical="center"/>
    </xf>
    <xf numFmtId="167" fontId="52" fillId="0" borderId="0" xfId="0" applyNumberFormat="1" applyFont="1" applyFill="1" applyBorder="1" applyAlignment="1">
      <alignment vertical="center"/>
    </xf>
    <xf numFmtId="167" fontId="53" fillId="0" borderId="0" xfId="1" applyNumberFormat="1" applyFont="1" applyFill="1" applyBorder="1" applyAlignment="1">
      <alignment vertical="center"/>
    </xf>
    <xf numFmtId="0" fontId="70" fillId="2" borderId="0" xfId="0" applyFont="1" applyFill="1" applyBorder="1" applyAlignment="1">
      <alignment horizontal="left" vertical="center" wrapText="1"/>
    </xf>
    <xf numFmtId="0" fontId="71" fillId="2" borderId="0" xfId="0" applyFont="1" applyFill="1" applyBorder="1" applyAlignment="1">
      <alignment horizontal="left" vertical="center" wrapText="1"/>
    </xf>
    <xf numFmtId="0" fontId="58" fillId="39" borderId="0" xfId="0" applyFont="1" applyFill="1" applyBorder="1" applyAlignment="1">
      <alignment horizontal="center" vertical="center" wrapText="1" shrinkToFit="1"/>
    </xf>
    <xf numFmtId="0" fontId="62" fillId="38" borderId="0" xfId="0" applyFont="1" applyFill="1" applyBorder="1" applyAlignment="1">
      <alignment horizontal="center" vertical="center" wrapText="1" shrinkToFit="1"/>
    </xf>
    <xf numFmtId="0" fontId="58" fillId="38" borderId="0" xfId="0" applyFont="1" applyFill="1" applyBorder="1" applyAlignment="1">
      <alignment horizontal="center" vertical="center" wrapText="1" shrinkToFit="1"/>
    </xf>
    <xf numFmtId="0" fontId="88" fillId="0" borderId="14" xfId="0" applyFont="1" applyBorder="1" applyAlignment="1">
      <alignment horizontal="center" vertical="center" wrapText="1"/>
    </xf>
    <xf numFmtId="0" fontId="69" fillId="2" borderId="0" xfId="0" applyFont="1" applyFill="1" applyAlignment="1">
      <alignment horizontal="left" vertical="center" wrapText="1"/>
    </xf>
    <xf numFmtId="0" fontId="70" fillId="2" borderId="0" xfId="0" applyFont="1" applyFill="1" applyAlignment="1">
      <alignment horizontal="left" vertical="center" wrapText="1"/>
    </xf>
    <xf numFmtId="0" fontId="70" fillId="3" borderId="0" xfId="0" applyFont="1" applyFill="1" applyAlignment="1">
      <alignment horizontal="left" vertical="center" wrapText="1"/>
    </xf>
    <xf numFmtId="0" fontId="69" fillId="2" borderId="0" xfId="9" applyFont="1" applyFill="1" applyAlignment="1">
      <alignment horizontal="left" wrapText="1"/>
    </xf>
    <xf numFmtId="0" fontId="62" fillId="38" borderId="0" xfId="0" applyFont="1" applyFill="1" applyBorder="1" applyAlignment="1">
      <alignment horizontal="center" wrapText="1" shrinkToFit="1"/>
    </xf>
    <xf numFmtId="0" fontId="69" fillId="2" borderId="0" xfId="9" applyFont="1" applyFill="1" applyAlignment="1">
      <alignment horizontal="left"/>
    </xf>
    <xf numFmtId="17" fontId="65" fillId="2" borderId="16" xfId="0" applyNumberFormat="1" applyFont="1" applyFill="1" applyBorder="1" applyAlignment="1">
      <alignment horizontal="center" wrapText="1" shrinkToFit="1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" fillId="2" borderId="0" xfId="3" applyFont="1" applyFill="1" applyBorder="1" applyAlignment="1">
      <alignment horizontal="center"/>
    </xf>
    <xf numFmtId="0" fontId="7" fillId="2" borderId="0" xfId="9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6" fillId="2" borderId="0" xfId="9" applyFont="1" applyFill="1" applyBorder="1" applyAlignment="1">
      <alignment horizontal="center" wrapText="1"/>
    </xf>
    <xf numFmtId="0" fontId="6" fillId="0" borderId="0" xfId="9" applyFont="1" applyFill="1" applyBorder="1" applyAlignment="1">
      <alignment horizontal="center"/>
    </xf>
    <xf numFmtId="0" fontId="69" fillId="2" borderId="0" xfId="0" applyFont="1" applyFill="1" applyBorder="1" applyAlignment="1">
      <alignment horizontal="left" vertical="center" wrapText="1"/>
    </xf>
    <xf numFmtId="0" fontId="53" fillId="2" borderId="0" xfId="0" applyFont="1" applyFill="1" applyBorder="1" applyAlignment="1">
      <alignment horizontal="left"/>
    </xf>
    <xf numFmtId="0" fontId="70" fillId="2" borderId="0" xfId="3" applyFont="1" applyFill="1" applyBorder="1" applyAlignment="1">
      <alignment horizontal="left" vertical="top" wrapText="1"/>
    </xf>
    <xf numFmtId="0" fontId="58" fillId="39" borderId="0" xfId="3" applyFont="1" applyFill="1" applyBorder="1" applyAlignment="1">
      <alignment horizontal="center" vertical="center" wrapText="1" shrinkToFit="1"/>
    </xf>
    <xf numFmtId="0" fontId="58" fillId="39" borderId="0" xfId="3" applyFont="1" applyFill="1" applyBorder="1" applyAlignment="1">
      <alignment horizontal="center" vertical="center" shrinkToFit="1"/>
    </xf>
    <xf numFmtId="0" fontId="51" fillId="3" borderId="0" xfId="11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91" fillId="2" borderId="0" xfId="0" applyFont="1" applyFill="1" applyBorder="1" applyAlignment="1">
      <alignment horizontal="left" vertical="center" wrapText="1"/>
    </xf>
    <xf numFmtId="0" fontId="70" fillId="2" borderId="0" xfId="3" applyFont="1" applyFill="1" applyBorder="1" applyAlignment="1">
      <alignment horizontal="left" vertical="center" wrapText="1"/>
    </xf>
    <xf numFmtId="0" fontId="71" fillId="2" borderId="0" xfId="0" applyFont="1" applyFill="1" applyBorder="1" applyAlignment="1">
      <alignment horizontal="left" vertical="center"/>
    </xf>
    <xf numFmtId="0" fontId="62" fillId="38" borderId="0" xfId="0" applyFont="1" applyFill="1" applyBorder="1" applyAlignment="1">
      <alignment horizontal="center" vertical="center"/>
    </xf>
    <xf numFmtId="0" fontId="58" fillId="38" borderId="0" xfId="0" applyFont="1" applyFill="1" applyBorder="1" applyAlignment="1">
      <alignment horizontal="center" vertical="center"/>
    </xf>
    <xf numFmtId="0" fontId="58" fillId="39" borderId="0" xfId="9" applyFont="1" applyFill="1" applyBorder="1" applyAlignment="1">
      <alignment horizontal="center" vertical="center"/>
    </xf>
    <xf numFmtId="0" fontId="63" fillId="0" borderId="14" xfId="9" applyFont="1" applyFill="1" applyBorder="1" applyAlignment="1">
      <alignment horizontal="center" vertical="center" wrapText="1" shrinkToFit="1"/>
    </xf>
    <xf numFmtId="16" fontId="63" fillId="0" borderId="14" xfId="9" applyNumberFormat="1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3" quotePrefix="1" applyFont="1" applyFill="1" applyBorder="1" applyAlignment="1">
      <alignment horizontal="center"/>
    </xf>
  </cellXfs>
  <cellStyles count="55">
    <cellStyle name="20% - Accent1" xfId="31" builtinId="30" customBuiltin="1"/>
    <cellStyle name="20% - Accent2" xfId="35" builtinId="34" customBuiltin="1"/>
    <cellStyle name="20% - Accent3" xfId="39" builtinId="38" customBuiltin="1"/>
    <cellStyle name="20% - Accent4" xfId="43" builtinId="42" customBuiltin="1"/>
    <cellStyle name="20% - Accent5" xfId="47" builtinId="46" customBuiltin="1"/>
    <cellStyle name="20% - Accent6" xfId="51" builtinId="50" customBuiltin="1"/>
    <cellStyle name="40% - Accent1" xfId="32" builtinId="31" customBuiltin="1"/>
    <cellStyle name="40% - Accent2" xfId="36" builtinId="35" customBuiltin="1"/>
    <cellStyle name="40% - Accent3" xfId="40" builtinId="39" customBuiltin="1"/>
    <cellStyle name="40% - Accent4" xfId="44" builtinId="43" customBuiltin="1"/>
    <cellStyle name="40% - Accent5" xfId="48" builtinId="47" customBuiltin="1"/>
    <cellStyle name="40% - Accent6" xfId="52" builtinId="51" customBuiltin="1"/>
    <cellStyle name="60% - Accent1" xfId="33" builtinId="32" customBuiltin="1"/>
    <cellStyle name="60% - Accent2" xfId="37" builtinId="36" customBuiltin="1"/>
    <cellStyle name="60% - Accent3" xfId="41" builtinId="40" customBuiltin="1"/>
    <cellStyle name="60% - Accent4" xfId="45" builtinId="44" customBuiltin="1"/>
    <cellStyle name="60% - Accent5" xfId="49" builtinId="48" customBuiltin="1"/>
    <cellStyle name="60% - Accent6" xfId="53" builtinId="52" customBuiltin="1"/>
    <cellStyle name="Accent1" xfId="30" builtinId="29" customBuiltin="1"/>
    <cellStyle name="Accent2" xfId="34" builtinId="33" customBuiltin="1"/>
    <cellStyle name="Accent3" xfId="38" builtinId="37" customBuiltin="1"/>
    <cellStyle name="Accent4" xfId="42" builtinId="41" customBuiltin="1"/>
    <cellStyle name="Accent5" xfId="46" builtinId="45" customBuiltin="1"/>
    <cellStyle name="Accent6" xfId="50" builtinId="49" customBuiltin="1"/>
    <cellStyle name="Bad" xfId="19" builtinId="27" customBuiltin="1"/>
    <cellStyle name="Calculation" xfId="23" builtinId="22" customBuiltin="1"/>
    <cellStyle name="Check Cell" xfId="25" builtinId="23" customBuiltin="1"/>
    <cellStyle name="Comma" xfId="1" builtinId="3"/>
    <cellStyle name="Comma 2" xfId="10"/>
    <cellStyle name="Comma_IV-trim  2002" xfId="4"/>
    <cellStyle name="Explanatory Text" xfId="28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Input" xfId="21" builtinId="20" customBuiltin="1"/>
    <cellStyle name="Linked Cell" xfId="24" builtinId="24" customBuiltin="1"/>
    <cellStyle name="Millares [0]_Conc. Act." xfId="5"/>
    <cellStyle name="Millares_B-12 FEMSA Mzo.99" xfId="6"/>
    <cellStyle name="Moneda [0]_CAPITA1" xfId="7"/>
    <cellStyle name="Moneda_ARGENTINA" xfId="8"/>
    <cellStyle name="Neutral" xfId="20" builtinId="28" customBuiltin="1"/>
    <cellStyle name="Normal" xfId="0" builtinId="0"/>
    <cellStyle name="Normal 2" xfId="9"/>
    <cellStyle name="Normal 3" xfId="11"/>
    <cellStyle name="Normal_B-12 FEMSA Mzo.99 2 2" xfId="54"/>
    <cellStyle name="Normal_IV-trim  2002" xfId="3"/>
    <cellStyle name="Note" xfId="27" builtinId="10" customBuiltin="1"/>
    <cellStyle name="Output" xfId="22" builtinId="21" customBuiltin="1"/>
    <cellStyle name="Percent" xfId="2" builtinId="5"/>
    <cellStyle name="Percent 2" xfId="12"/>
    <cellStyle name="Title" xfId="13" builtinId="15" customBuiltin="1"/>
    <cellStyle name="Total" xfId="29" builtinId="25" customBuiltin="1"/>
    <cellStyle name="Warning Text" xfId="26" builtinId="11" customBuiltin="1"/>
  </cellStyles>
  <dxfs count="0"/>
  <tableStyles count="0" defaultTableStyle="TableStyleMedium9" defaultPivotStyle="PivotStyleLight16"/>
  <colors>
    <mruColors>
      <color rgb="FF393943"/>
      <color rgb="FF850026"/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9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6866" name="Object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09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59</xdr:row>
          <xdr:rowOff>0</xdr:rowOff>
        </xdr:from>
        <xdr:to>
          <xdr:col>4</xdr:col>
          <xdr:colOff>0</xdr:colOff>
          <xdr:row>59</xdr:row>
          <xdr:rowOff>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A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28</xdr:row>
          <xdr:rowOff>0</xdr:rowOff>
        </xdr:from>
        <xdr:to>
          <xdr:col>4</xdr:col>
          <xdr:colOff>0</xdr:colOff>
          <xdr:row>28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A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0</xdr:colOff>
          <xdr:row>59</xdr:row>
          <xdr:rowOff>0</xdr:rowOff>
        </xdr:from>
        <xdr:to>
          <xdr:col>11</xdr:col>
          <xdr:colOff>0</xdr:colOff>
          <xdr:row>59</xdr:row>
          <xdr:rowOff>0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A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200025</xdr:rowOff>
    </xdr:from>
    <xdr:to>
      <xdr:col>19</xdr:col>
      <xdr:colOff>0</xdr:colOff>
      <xdr:row>2</xdr:row>
      <xdr:rowOff>0</xdr:rowOff>
    </xdr:to>
    <xdr:pic>
      <xdr:nvPicPr>
        <xdr:cNvPr id="8" name="Picture 1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2000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9" name="Picture 1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190500</xdr:rowOff>
    </xdr:from>
    <xdr:to>
      <xdr:col>19</xdr:col>
      <xdr:colOff>0</xdr:colOff>
      <xdr:row>2</xdr:row>
      <xdr:rowOff>0</xdr:rowOff>
    </xdr:to>
    <xdr:pic>
      <xdr:nvPicPr>
        <xdr:cNvPr id="10" name="Picture 1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90500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0</xdr:colOff>
      <xdr:row>0</xdr:row>
      <xdr:rowOff>123825</xdr:rowOff>
    </xdr:from>
    <xdr:to>
      <xdr:col>19</xdr:col>
      <xdr:colOff>0</xdr:colOff>
      <xdr:row>2</xdr:row>
      <xdr:rowOff>0</xdr:rowOff>
    </xdr:to>
    <xdr:pic>
      <xdr:nvPicPr>
        <xdr:cNvPr id="11" name="Picture 2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535275" y="123825"/>
          <a:ext cx="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17</xdr:row>
          <xdr:rowOff>0</xdr:rowOff>
        </xdr:from>
        <xdr:to>
          <xdr:col>2</xdr:col>
          <xdr:colOff>0</xdr:colOff>
          <xdr:row>17</xdr:row>
          <xdr:rowOff>0</xdr:rowOff>
        </xdr:to>
        <xdr:sp macro="" textlink="">
          <xdr:nvSpPr>
            <xdr:cNvPr id="20481" name="Imagen 46" hidden="1">
              <a:extLst>
                <a:ext uri="{63B3BB69-23CF-44E3-9099-C40C66FF867C}">
                  <a14:compatExt spid="_x0000_s20481"/>
                </a:ext>
                <a:ext uri="{FF2B5EF4-FFF2-40B4-BE49-F238E27FC236}">
                  <a16:creationId xmlns:a16="http://schemas.microsoft.com/office/drawing/2014/main" id="{00000000-0008-0000-0C00-00000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20</xdr:row>
          <xdr:rowOff>0</xdr:rowOff>
        </xdr:from>
        <xdr:to>
          <xdr:col>2</xdr:col>
          <xdr:colOff>0</xdr:colOff>
          <xdr:row>20</xdr:row>
          <xdr:rowOff>0</xdr:rowOff>
        </xdr:to>
        <xdr:sp macro="" textlink="">
          <xdr:nvSpPr>
            <xdr:cNvPr id="20482" name="Object 2" hidden="1">
              <a:extLst>
                <a:ext uri="{63B3BB69-23CF-44E3-9099-C40C66FF867C}">
                  <a14:compatExt spid="_x0000_s20482"/>
                </a:ext>
                <a:ext uri="{FF2B5EF4-FFF2-40B4-BE49-F238E27FC236}">
                  <a16:creationId xmlns:a16="http://schemas.microsoft.com/office/drawing/2014/main" id="{00000000-0008-0000-0C00-00000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36</xdr:row>
          <xdr:rowOff>0</xdr:rowOff>
        </xdr:from>
        <xdr:to>
          <xdr:col>2</xdr:col>
          <xdr:colOff>0</xdr:colOff>
          <xdr:row>36</xdr:row>
          <xdr:rowOff>0</xdr:rowOff>
        </xdr:to>
        <xdr:sp macro="" textlink="">
          <xdr:nvSpPr>
            <xdr:cNvPr id="20483" name="Object 3" hidden="1">
              <a:extLst>
                <a:ext uri="{63B3BB69-23CF-44E3-9099-C40C66FF867C}">
                  <a14:compatExt spid="_x0000_s20483"/>
                </a:ext>
                <a:ext uri="{FF2B5EF4-FFF2-40B4-BE49-F238E27FC236}">
                  <a16:creationId xmlns:a16="http://schemas.microsoft.com/office/drawing/2014/main" id="{00000000-0008-0000-0C00-00000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36</xdr:row>
          <xdr:rowOff>0</xdr:rowOff>
        </xdr:from>
        <xdr:to>
          <xdr:col>6</xdr:col>
          <xdr:colOff>0</xdr:colOff>
          <xdr:row>36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76</xdr:row>
          <xdr:rowOff>12700</xdr:rowOff>
        </xdr:from>
        <xdr:to>
          <xdr:col>3</xdr:col>
          <xdr:colOff>0</xdr:colOff>
          <xdr:row>77</xdr:row>
          <xdr:rowOff>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2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56</xdr:row>
          <xdr:rowOff>12700</xdr:rowOff>
        </xdr:from>
        <xdr:to>
          <xdr:col>5</xdr:col>
          <xdr:colOff>0</xdr:colOff>
          <xdr:row>57</xdr:row>
          <xdr:rowOff>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3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11</xdr:row>
          <xdr:rowOff>0</xdr:rowOff>
        </xdr:from>
        <xdr:to>
          <xdr:col>4</xdr:col>
          <xdr:colOff>0</xdr:colOff>
          <xdr:row>11</xdr:row>
          <xdr:rowOff>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4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</xdr:row>
          <xdr:rowOff>0</xdr:rowOff>
        </xdr:from>
        <xdr:to>
          <xdr:col>6</xdr:col>
          <xdr:colOff>0</xdr:colOff>
          <xdr:row>11</xdr:row>
          <xdr:rowOff>0</xdr:rowOff>
        </xdr:to>
        <xdr:sp macro="" textlink="">
          <xdr:nvSpPr>
            <xdr:cNvPr id="14338" name="Object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4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31</xdr:row>
          <xdr:rowOff>12700</xdr:rowOff>
        </xdr:from>
        <xdr:to>
          <xdr:col>4</xdr:col>
          <xdr:colOff>0</xdr:colOff>
          <xdr:row>32</xdr:row>
          <xdr:rowOff>50800</xdr:rowOff>
        </xdr:to>
        <xdr:sp macro="" textlink="">
          <xdr:nvSpPr>
            <xdr:cNvPr id="33793" name="Object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5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31</xdr:row>
          <xdr:rowOff>0</xdr:rowOff>
        </xdr:from>
        <xdr:to>
          <xdr:col>4</xdr:col>
          <xdr:colOff>0</xdr:colOff>
          <xdr:row>31</xdr:row>
          <xdr:rowOff>50800</xdr:rowOff>
        </xdr:to>
        <xdr:sp macro="" textlink="">
          <xdr:nvSpPr>
            <xdr:cNvPr id="33794" name="Object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5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35</xdr:row>
          <xdr:rowOff>0</xdr:rowOff>
        </xdr:from>
        <xdr:to>
          <xdr:col>4</xdr:col>
          <xdr:colOff>0</xdr:colOff>
          <xdr:row>35</xdr:row>
          <xdr:rowOff>50800</xdr:rowOff>
        </xdr:to>
        <xdr:sp macro="" textlink="">
          <xdr:nvSpPr>
            <xdr:cNvPr id="37897" name="Object 9" hidden="1">
              <a:extLst>
                <a:ext uri="{63B3BB69-23CF-44E3-9099-C40C66FF867C}">
                  <a14:compatExt spid="_x0000_s37897"/>
                </a:ext>
                <a:ext uri="{FF2B5EF4-FFF2-40B4-BE49-F238E27FC236}">
                  <a16:creationId xmlns:a16="http://schemas.microsoft.com/office/drawing/2014/main" id="{00000000-0008-0000-0700-000009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8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17</xdr:row>
          <xdr:rowOff>0</xdr:rowOff>
        </xdr:from>
        <xdr:to>
          <xdr:col>4</xdr:col>
          <xdr:colOff>0</xdr:colOff>
          <xdr:row>17</xdr:row>
          <xdr:rowOff>0</xdr:rowOff>
        </xdr:to>
        <xdr:sp macro="" textlink="">
          <xdr:nvSpPr>
            <xdr:cNvPr id="35842" name="Object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8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6" Type="http://schemas.openxmlformats.org/officeDocument/2006/relationships/oleObject" Target="../embeddings/oleObject1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oleObject" Target="../embeddings/oleObject15.bin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1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7" Type="http://schemas.openxmlformats.org/officeDocument/2006/relationships/oleObject" Target="../embeddings/oleObject18.bin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6" Type="http://schemas.openxmlformats.org/officeDocument/2006/relationships/oleObject" Target="../embeddings/oleObject1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5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7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10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Normal="100" zoomScaleSheetLayoutView="110" workbookViewId="0">
      <selection sqref="A1:O1"/>
    </sheetView>
  </sheetViews>
  <sheetFormatPr defaultColWidth="9.81640625" defaultRowHeight="10.5"/>
  <cols>
    <col min="1" max="1" width="42.7265625" style="470" customWidth="1"/>
    <col min="2" max="2" width="1.7265625" style="420" customWidth="1"/>
    <col min="3" max="5" width="7.7265625" style="439" customWidth="1"/>
    <col min="6" max="7" width="7.7265625" style="420" customWidth="1"/>
    <col min="8" max="8" width="7.7265625" style="652" customWidth="1"/>
    <col min="9" max="9" width="4.7265625" style="439" customWidth="1"/>
    <col min="10" max="11" width="7.7265625" style="439" customWidth="1"/>
    <col min="12" max="12" width="7.7265625" style="448" customWidth="1"/>
    <col min="13" max="14" width="7.7265625" style="439" customWidth="1"/>
    <col min="15" max="15" width="7.7265625" style="420" customWidth="1"/>
    <col min="16" max="16" width="10.54296875" style="358" bestFit="1" customWidth="1"/>
    <col min="17" max="16384" width="9.81640625" style="358"/>
  </cols>
  <sheetData>
    <row r="1" spans="1:19" ht="11.15" customHeight="1">
      <c r="A1" s="963" t="s">
        <v>0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</row>
    <row r="2" spans="1:19" ht="11.15" customHeight="1">
      <c r="A2" s="964" t="s">
        <v>1</v>
      </c>
      <c r="B2" s="964"/>
      <c r="C2" s="964"/>
      <c r="D2" s="964"/>
      <c r="E2" s="964"/>
      <c r="F2" s="964"/>
      <c r="G2" s="964"/>
      <c r="H2" s="964"/>
      <c r="I2" s="964"/>
      <c r="J2" s="964"/>
      <c r="K2" s="964"/>
      <c r="L2" s="964"/>
      <c r="M2" s="964"/>
      <c r="N2" s="964"/>
      <c r="O2" s="964"/>
    </row>
    <row r="3" spans="1:19" ht="11.15" customHeight="1">
      <c r="A3" s="965" t="s">
        <v>67</v>
      </c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</row>
    <row r="4" spans="1:19" ht="11.15" customHeight="1">
      <c r="A4" s="900"/>
      <c r="B4" s="603"/>
      <c r="C4" s="604"/>
      <c r="D4" s="604"/>
      <c r="E4" s="604"/>
      <c r="F4" s="603"/>
      <c r="G4" s="603"/>
      <c r="H4" s="605"/>
      <c r="I4" s="604"/>
      <c r="J4" s="603"/>
      <c r="K4" s="443"/>
      <c r="L4" s="606"/>
      <c r="M4" s="588"/>
      <c r="O4" s="603"/>
    </row>
    <row r="5" spans="1:19" s="366" customFormat="1" ht="15" customHeight="1">
      <c r="A5" s="468"/>
      <c r="B5" s="619"/>
      <c r="C5" s="962" t="s">
        <v>238</v>
      </c>
      <c r="D5" s="962"/>
      <c r="E5" s="962"/>
      <c r="F5" s="962"/>
      <c r="G5" s="962"/>
      <c r="H5" s="962"/>
      <c r="I5" s="440"/>
      <c r="J5" s="962" t="s">
        <v>119</v>
      </c>
      <c r="K5" s="962"/>
      <c r="L5" s="962"/>
      <c r="M5" s="962"/>
      <c r="N5" s="962"/>
      <c r="O5" s="962"/>
    </row>
    <row r="6" spans="1:19" s="555" customFormat="1" ht="15" customHeight="1">
      <c r="A6" s="553"/>
      <c r="B6" s="476"/>
      <c r="C6" s="475">
        <v>2017</v>
      </c>
      <c r="D6" s="475" t="s">
        <v>4</v>
      </c>
      <c r="E6" s="475">
        <v>2016</v>
      </c>
      <c r="F6" s="475" t="s">
        <v>4</v>
      </c>
      <c r="G6" s="475" t="s">
        <v>111</v>
      </c>
      <c r="H6" s="475" t="s">
        <v>178</v>
      </c>
      <c r="I6" s="475"/>
      <c r="J6" s="475">
        <v>2017</v>
      </c>
      <c r="K6" s="475" t="s">
        <v>4</v>
      </c>
      <c r="L6" s="475">
        <v>2016</v>
      </c>
      <c r="M6" s="475" t="s">
        <v>4</v>
      </c>
      <c r="N6" s="475" t="s">
        <v>111</v>
      </c>
      <c r="O6" s="657" t="s">
        <v>178</v>
      </c>
      <c r="Q6" s="554"/>
      <c r="R6" s="554"/>
    </row>
    <row r="7" spans="1:19" ht="13" customHeight="1">
      <c r="A7" s="294" t="s">
        <v>179</v>
      </c>
      <c r="B7" s="620"/>
      <c r="C7" s="416">
        <v>114801</v>
      </c>
      <c r="D7" s="417">
        <v>100</v>
      </c>
      <c r="E7" s="416">
        <v>94543</v>
      </c>
      <c r="F7" s="417">
        <v>100</v>
      </c>
      <c r="G7" s="417">
        <v>21.427287054567756</v>
      </c>
      <c r="H7" s="566">
        <v>10.703324426554284</v>
      </c>
      <c r="I7" s="626"/>
      <c r="J7" s="416">
        <v>224020</v>
      </c>
      <c r="K7" s="417">
        <v>100</v>
      </c>
      <c r="L7" s="416">
        <v>180015</v>
      </c>
      <c r="M7" s="417">
        <v>100</v>
      </c>
      <c r="N7" s="417">
        <v>24.445185123461943</v>
      </c>
      <c r="O7" s="566">
        <v>13.823317264127244</v>
      </c>
    </row>
    <row r="8" spans="1:19" ht="13" customHeight="1">
      <c r="A8" s="397" t="s">
        <v>6</v>
      </c>
      <c r="B8" s="620"/>
      <c r="C8" s="845">
        <v>72597</v>
      </c>
      <c r="D8" s="419">
        <v>63.2</v>
      </c>
      <c r="E8" s="845">
        <v>59215</v>
      </c>
      <c r="F8" s="419">
        <v>62.6</v>
      </c>
      <c r="G8" s="419">
        <v>22.599003630836776</v>
      </c>
      <c r="H8" s="419"/>
      <c r="I8" s="626"/>
      <c r="J8" s="845">
        <v>142916</v>
      </c>
      <c r="K8" s="419">
        <v>63.8</v>
      </c>
      <c r="L8" s="845">
        <v>113668</v>
      </c>
      <c r="M8" s="419">
        <v>63.1</v>
      </c>
      <c r="N8" s="419">
        <v>25.73107646831123</v>
      </c>
      <c r="O8" s="419"/>
    </row>
    <row r="9" spans="1:19" ht="13" customHeight="1">
      <c r="A9" s="398" t="s">
        <v>7</v>
      </c>
      <c r="B9" s="620"/>
      <c r="C9" s="846">
        <v>42204</v>
      </c>
      <c r="D9" s="421">
        <v>36.799999999999997</v>
      </c>
      <c r="E9" s="846">
        <v>35328</v>
      </c>
      <c r="F9" s="421">
        <v>37.4</v>
      </c>
      <c r="G9" s="421">
        <v>19.463315217391308</v>
      </c>
      <c r="H9" s="661"/>
      <c r="I9" s="626"/>
      <c r="J9" s="846">
        <v>81104</v>
      </c>
      <c r="K9" s="421">
        <v>36.200000000000003</v>
      </c>
      <c r="L9" s="846">
        <v>66347</v>
      </c>
      <c r="M9" s="421">
        <v>36.9</v>
      </c>
      <c r="N9" s="421">
        <v>22.242151114594488</v>
      </c>
      <c r="O9" s="661"/>
      <c r="P9" s="364"/>
      <c r="Q9" s="364"/>
    </row>
    <row r="10" spans="1:19" ht="13" customHeight="1">
      <c r="A10" s="571" t="s">
        <v>34</v>
      </c>
      <c r="B10" s="621"/>
      <c r="C10" s="847">
        <v>3972</v>
      </c>
      <c r="D10" s="422">
        <v>3.5</v>
      </c>
      <c r="E10" s="847">
        <v>3692</v>
      </c>
      <c r="F10" s="422">
        <v>3.9</v>
      </c>
      <c r="G10" s="422">
        <v>7.583965330444209</v>
      </c>
      <c r="H10" s="422"/>
      <c r="I10" s="626"/>
      <c r="J10" s="847">
        <v>8093</v>
      </c>
      <c r="K10" s="422">
        <v>3.6</v>
      </c>
      <c r="L10" s="847">
        <v>7082</v>
      </c>
      <c r="M10" s="422">
        <v>3.9</v>
      </c>
      <c r="N10" s="422">
        <v>14.275628353572433</v>
      </c>
      <c r="O10" s="422"/>
      <c r="P10" s="364"/>
      <c r="Q10" s="364"/>
    </row>
    <row r="11" spans="1:19" ht="13" customHeight="1">
      <c r="A11" s="655" t="s">
        <v>35</v>
      </c>
      <c r="B11" s="621"/>
      <c r="C11" s="416">
        <v>27615</v>
      </c>
      <c r="D11" s="417">
        <v>23.999999999999993</v>
      </c>
      <c r="E11" s="416">
        <v>22370</v>
      </c>
      <c r="F11" s="417">
        <v>23.700000000000003</v>
      </c>
      <c r="G11" s="417">
        <v>23.44658024139472</v>
      </c>
      <c r="H11" s="566"/>
      <c r="I11" s="626"/>
      <c r="J11" s="416">
        <v>54445</v>
      </c>
      <c r="K11" s="417">
        <v>24.300000000000004</v>
      </c>
      <c r="L11" s="416">
        <v>43180</v>
      </c>
      <c r="M11" s="417">
        <v>24.1</v>
      </c>
      <c r="N11" s="417">
        <v>26.088466882816121</v>
      </c>
      <c r="O11" s="566"/>
      <c r="P11" s="364"/>
      <c r="Q11" s="364"/>
    </row>
    <row r="12" spans="1:19" ht="13" customHeight="1">
      <c r="A12" s="397" t="s">
        <v>183</v>
      </c>
      <c r="C12" s="845">
        <v>192</v>
      </c>
      <c r="D12" s="419">
        <v>0.2</v>
      </c>
      <c r="E12" s="845">
        <v>-143</v>
      </c>
      <c r="F12" s="419">
        <v>-0.2</v>
      </c>
      <c r="G12" s="419" t="s">
        <v>105</v>
      </c>
      <c r="H12" s="419"/>
      <c r="I12" s="626"/>
      <c r="J12" s="845">
        <v>-142</v>
      </c>
      <c r="K12" s="419">
        <v>-0.1</v>
      </c>
      <c r="L12" s="845">
        <v>-100</v>
      </c>
      <c r="M12" s="419">
        <v>-0.1</v>
      </c>
      <c r="N12" s="419">
        <v>41.999999999999993</v>
      </c>
      <c r="O12" s="419"/>
      <c r="P12" s="364"/>
      <c r="Q12" s="364"/>
    </row>
    <row r="13" spans="1:19" s="369" customFormat="1" ht="13" customHeight="1">
      <c r="A13" s="401" t="s">
        <v>184</v>
      </c>
      <c r="B13" s="622"/>
      <c r="C13" s="846">
        <v>10425</v>
      </c>
      <c r="D13" s="421">
        <v>9.1</v>
      </c>
      <c r="E13" s="846">
        <v>9409</v>
      </c>
      <c r="F13" s="421">
        <v>10</v>
      </c>
      <c r="G13" s="421">
        <v>10.798171963014136</v>
      </c>
      <c r="H13" s="661">
        <v>1.068668345194923</v>
      </c>
      <c r="I13" s="609"/>
      <c r="J13" s="846">
        <v>18708</v>
      </c>
      <c r="K13" s="421">
        <v>8.4</v>
      </c>
      <c r="L13" s="846">
        <v>16185</v>
      </c>
      <c r="M13" s="421">
        <v>9</v>
      </c>
      <c r="N13" s="421">
        <v>15.588507877664505</v>
      </c>
      <c r="O13" s="661">
        <v>3.7792195620658831</v>
      </c>
      <c r="P13" s="623"/>
      <c r="Q13" s="364"/>
    </row>
    <row r="14" spans="1:19" ht="13" customHeight="1">
      <c r="A14" s="662" t="s">
        <v>70</v>
      </c>
      <c r="B14" s="620"/>
      <c r="C14" s="848">
        <v>1376</v>
      </c>
      <c r="D14" s="663"/>
      <c r="E14" s="848">
        <v>733</v>
      </c>
      <c r="F14" s="664"/>
      <c r="G14" s="664">
        <v>87.721691678035469</v>
      </c>
      <c r="H14" s="664"/>
      <c r="I14" s="609"/>
      <c r="J14" s="848">
        <v>-1079</v>
      </c>
      <c r="K14" s="663"/>
      <c r="L14" s="848">
        <v>1029</v>
      </c>
      <c r="M14" s="664"/>
      <c r="N14" s="664" t="s">
        <v>105</v>
      </c>
      <c r="O14" s="664"/>
      <c r="P14" s="364"/>
      <c r="Q14" s="364"/>
      <c r="S14" s="624"/>
    </row>
    <row r="15" spans="1:19" ht="13" customHeight="1">
      <c r="A15" s="656" t="s">
        <v>201</v>
      </c>
      <c r="B15" s="621"/>
      <c r="C15" s="416">
        <v>2696</v>
      </c>
      <c r="D15" s="625"/>
      <c r="E15" s="416">
        <v>2411</v>
      </c>
      <c r="F15" s="417"/>
      <c r="G15" s="417">
        <v>11.820821236001656</v>
      </c>
      <c r="H15" s="566"/>
      <c r="I15" s="626"/>
      <c r="J15" s="416">
        <v>5797</v>
      </c>
      <c r="K15" s="625"/>
      <c r="L15" s="416">
        <v>4443</v>
      </c>
      <c r="M15" s="417"/>
      <c r="N15" s="417">
        <v>30.474904343911781</v>
      </c>
      <c r="O15" s="566"/>
      <c r="Q15" s="364"/>
    </row>
    <row r="16" spans="1:19" ht="13" customHeight="1">
      <c r="A16" s="665" t="s">
        <v>197</v>
      </c>
      <c r="B16" s="621"/>
      <c r="C16" s="847">
        <v>301</v>
      </c>
      <c r="D16" s="666"/>
      <c r="E16" s="847">
        <v>283</v>
      </c>
      <c r="F16" s="422"/>
      <c r="G16" s="422">
        <v>6.360424028268552</v>
      </c>
      <c r="H16" s="422"/>
      <c r="I16" s="626"/>
      <c r="J16" s="847">
        <v>636</v>
      </c>
      <c r="K16" s="666"/>
      <c r="L16" s="847">
        <v>473</v>
      </c>
      <c r="M16" s="422"/>
      <c r="N16" s="422">
        <v>34.460887949260034</v>
      </c>
      <c r="O16" s="422"/>
      <c r="Q16" s="364"/>
    </row>
    <row r="17" spans="1:17" ht="13" customHeight="1">
      <c r="A17" s="656" t="s">
        <v>199</v>
      </c>
      <c r="B17" s="621"/>
      <c r="C17" s="416">
        <v>2395</v>
      </c>
      <c r="D17" s="626"/>
      <c r="E17" s="416">
        <v>2128</v>
      </c>
      <c r="F17" s="417"/>
      <c r="G17" s="417">
        <v>12.546992481203013</v>
      </c>
      <c r="H17" s="566"/>
      <c r="I17" s="626"/>
      <c r="J17" s="416">
        <v>5161</v>
      </c>
      <c r="K17" s="626"/>
      <c r="L17" s="416">
        <v>3970</v>
      </c>
      <c r="M17" s="417"/>
      <c r="N17" s="417">
        <v>30.000000000000004</v>
      </c>
      <c r="O17" s="566"/>
      <c r="P17" s="364"/>
      <c r="Q17" s="364"/>
    </row>
    <row r="18" spans="1:17" ht="13" customHeight="1">
      <c r="A18" s="665" t="s">
        <v>198</v>
      </c>
      <c r="B18" s="621"/>
      <c r="C18" s="847">
        <v>504</v>
      </c>
      <c r="D18" s="666"/>
      <c r="E18" s="847">
        <v>-177</v>
      </c>
      <c r="F18" s="422"/>
      <c r="G18" s="422" t="s">
        <v>105</v>
      </c>
      <c r="H18" s="422"/>
      <c r="I18" s="626"/>
      <c r="J18" s="847">
        <v>2170</v>
      </c>
      <c r="K18" s="666"/>
      <c r="L18" s="847">
        <v>144</v>
      </c>
      <c r="M18" s="422"/>
      <c r="N18" s="422" t="s">
        <v>105</v>
      </c>
      <c r="O18" s="422"/>
      <c r="Q18" s="364"/>
    </row>
    <row r="19" spans="1:17" ht="13" customHeight="1">
      <c r="A19" s="671" t="s">
        <v>200</v>
      </c>
      <c r="B19" s="620"/>
      <c r="C19" s="849">
        <v>-129</v>
      </c>
      <c r="D19" s="673"/>
      <c r="E19" s="849">
        <v>-307</v>
      </c>
      <c r="F19" s="425"/>
      <c r="G19" s="425">
        <v>-57.980456026058633</v>
      </c>
      <c r="H19" s="565"/>
      <c r="I19" s="626"/>
      <c r="J19" s="849">
        <v>-844</v>
      </c>
      <c r="K19" s="673"/>
      <c r="L19" s="849">
        <v>-680</v>
      </c>
      <c r="M19" s="425"/>
      <c r="N19" s="425">
        <v>24.117647058823533</v>
      </c>
      <c r="O19" s="565"/>
      <c r="Q19" s="364"/>
    </row>
    <row r="20" spans="1:17" s="369" customFormat="1" ht="13" customHeight="1">
      <c r="A20" s="662" t="s">
        <v>117</v>
      </c>
      <c r="B20" s="622"/>
      <c r="C20" s="848">
        <v>2770</v>
      </c>
      <c r="D20" s="667"/>
      <c r="E20" s="848">
        <v>1644</v>
      </c>
      <c r="F20" s="664"/>
      <c r="G20" s="664">
        <v>68.491484184914839</v>
      </c>
      <c r="H20" s="664"/>
      <c r="I20" s="609"/>
      <c r="J20" s="848">
        <v>6487</v>
      </c>
      <c r="K20" s="667"/>
      <c r="L20" s="848">
        <v>3434</v>
      </c>
      <c r="M20" s="664"/>
      <c r="N20" s="664">
        <v>88.905066977285969</v>
      </c>
      <c r="O20" s="664"/>
      <c r="P20" s="364"/>
      <c r="Q20" s="364"/>
    </row>
    <row r="21" spans="1:17" s="356" customFormat="1" ht="22.5" customHeight="1">
      <c r="A21" s="598" t="s">
        <v>202</v>
      </c>
      <c r="B21" s="608"/>
      <c r="C21" s="850">
        <v>6279</v>
      </c>
      <c r="D21" s="618"/>
      <c r="E21" s="850">
        <v>7032</v>
      </c>
      <c r="F21" s="525"/>
      <c r="G21" s="494">
        <v>-10.708191126279864</v>
      </c>
      <c r="H21" s="602"/>
      <c r="I21" s="613"/>
      <c r="J21" s="850">
        <v>13300</v>
      </c>
      <c r="K21" s="618"/>
      <c r="L21" s="850">
        <v>11722</v>
      </c>
      <c r="M21" s="525"/>
      <c r="N21" s="494">
        <v>13.461866575669678</v>
      </c>
      <c r="O21" s="602"/>
      <c r="P21" s="617"/>
      <c r="Q21" s="355"/>
    </row>
    <row r="22" spans="1:17" ht="13" customHeight="1">
      <c r="A22" s="404" t="s">
        <v>13</v>
      </c>
      <c r="B22" s="620"/>
      <c r="C22" s="847">
        <v>1679.8836643231134</v>
      </c>
      <c r="D22" s="674">
        <v>0.26754000068850348</v>
      </c>
      <c r="E22" s="847">
        <v>1893.0492137174074</v>
      </c>
      <c r="F22" s="674">
        <v>0.26920495075617284</v>
      </c>
      <c r="G22" s="422">
        <v>-11.260433582479234</v>
      </c>
      <c r="H22" s="422"/>
      <c r="I22" s="609"/>
      <c r="J22" s="847">
        <v>3104.5259999999998</v>
      </c>
      <c r="K22" s="674"/>
      <c r="L22" s="847">
        <v>3383.2220000000002</v>
      </c>
      <c r="M22" s="674">
        <v>0.2886215662856168</v>
      </c>
      <c r="N22" s="422">
        <v>-8.2375912665500586</v>
      </c>
      <c r="O22" s="422"/>
      <c r="P22" s="364"/>
      <c r="Q22" s="364"/>
    </row>
    <row r="23" spans="1:17" ht="13" customHeight="1">
      <c r="A23" s="403" t="s">
        <v>185</v>
      </c>
      <c r="B23" s="620"/>
      <c r="C23" s="849">
        <v>1819</v>
      </c>
      <c r="D23" s="672"/>
      <c r="E23" s="849">
        <v>1017</v>
      </c>
      <c r="F23" s="425"/>
      <c r="G23" s="425">
        <v>78.859390363815152</v>
      </c>
      <c r="H23" s="565"/>
      <c r="I23" s="609"/>
      <c r="J23" s="849">
        <v>3112</v>
      </c>
      <c r="K23" s="672"/>
      <c r="L23" s="849">
        <v>2162</v>
      </c>
      <c r="M23" s="425"/>
      <c r="N23" s="425">
        <v>43.940795559666967</v>
      </c>
      <c r="O23" s="565"/>
      <c r="P23" s="364"/>
      <c r="Q23" s="364"/>
    </row>
    <row r="24" spans="1:17" s="369" customFormat="1" ht="13" customHeight="1">
      <c r="A24" s="675" t="s">
        <v>14</v>
      </c>
      <c r="B24" s="622"/>
      <c r="C24" s="848">
        <v>6418.1163356768866</v>
      </c>
      <c r="D24" s="667"/>
      <c r="E24" s="848">
        <v>6155.9507862825922</v>
      </c>
      <c r="F24" s="664"/>
      <c r="G24" s="664">
        <v>4.2587336789384755</v>
      </c>
      <c r="H24" s="664"/>
      <c r="I24" s="609"/>
      <c r="J24" s="848">
        <v>13307.474</v>
      </c>
      <c r="K24" s="667"/>
      <c r="L24" s="848">
        <v>10500.778</v>
      </c>
      <c r="M24" s="664"/>
      <c r="N24" s="664">
        <v>26.728457643805047</v>
      </c>
      <c r="O24" s="664"/>
      <c r="P24" s="623"/>
      <c r="Q24" s="364"/>
    </row>
    <row r="25" spans="1:17" ht="13" customHeight="1">
      <c r="A25" s="294" t="s">
        <v>15</v>
      </c>
      <c r="B25" s="620"/>
      <c r="C25" s="416">
        <v>4657.1163356768866</v>
      </c>
      <c r="D25" s="626"/>
      <c r="E25" s="416">
        <v>4872.9507862825922</v>
      </c>
      <c r="F25" s="417"/>
      <c r="G25" s="417">
        <v>-4.4292351815512276</v>
      </c>
      <c r="H25" s="566"/>
      <c r="I25" s="626"/>
      <c r="J25" s="416">
        <v>8247.4740000000002</v>
      </c>
      <c r="K25" s="626"/>
      <c r="L25" s="416">
        <v>7861.7780000000002</v>
      </c>
      <c r="M25" s="417"/>
      <c r="N25" s="417">
        <v>4.905964019843867</v>
      </c>
      <c r="O25" s="566"/>
    </row>
    <row r="26" spans="1:17" ht="13" customHeight="1" thickBot="1">
      <c r="A26" s="676" t="s">
        <v>16</v>
      </c>
      <c r="B26" s="678"/>
      <c r="C26" s="851">
        <v>1761</v>
      </c>
      <c r="D26" s="677"/>
      <c r="E26" s="851">
        <v>1283</v>
      </c>
      <c r="F26" s="432"/>
      <c r="G26" s="432">
        <v>37.256430241621196</v>
      </c>
      <c r="H26" s="432"/>
      <c r="I26" s="626"/>
      <c r="J26" s="851">
        <v>5060</v>
      </c>
      <c r="K26" s="677"/>
      <c r="L26" s="851">
        <v>2639</v>
      </c>
      <c r="M26" s="432"/>
      <c r="N26" s="432">
        <v>91.739295187571045</v>
      </c>
      <c r="O26" s="432"/>
      <c r="P26" s="364"/>
    </row>
    <row r="27" spans="1:17" ht="13" customHeight="1">
      <c r="A27" s="294"/>
      <c r="B27" s="620"/>
      <c r="C27" s="668"/>
      <c r="D27" s="627"/>
      <c r="E27" s="668"/>
      <c r="F27" s="438"/>
      <c r="G27" s="438"/>
      <c r="H27" s="669"/>
      <c r="I27" s="438"/>
      <c r="J27" s="668"/>
      <c r="K27" s="627"/>
      <c r="L27" s="670"/>
      <c r="M27" s="438"/>
      <c r="O27" s="562"/>
      <c r="P27" s="364"/>
    </row>
    <row r="28" spans="1:17" s="366" customFormat="1" ht="13" customHeight="1">
      <c r="A28" s="601" t="s">
        <v>113</v>
      </c>
      <c r="B28" s="420"/>
      <c r="C28" s="475">
        <v>2017</v>
      </c>
      <c r="D28" s="475" t="s">
        <v>4</v>
      </c>
      <c r="E28" s="475">
        <v>2016</v>
      </c>
      <c r="F28" s="475" t="s">
        <v>4</v>
      </c>
      <c r="G28" s="475" t="s">
        <v>111</v>
      </c>
      <c r="H28" s="657" t="s">
        <v>178</v>
      </c>
      <c r="I28" s="658"/>
      <c r="J28" s="475">
        <v>2017</v>
      </c>
      <c r="K28" s="475" t="s">
        <v>4</v>
      </c>
      <c r="L28" s="475">
        <v>2016</v>
      </c>
      <c r="M28" s="475" t="s">
        <v>4</v>
      </c>
      <c r="N28" s="475" t="s">
        <v>111</v>
      </c>
      <c r="O28" s="657" t="s">
        <v>178</v>
      </c>
    </row>
    <row r="29" spans="1:17" ht="13" customHeight="1">
      <c r="A29" s="901" t="s">
        <v>73</v>
      </c>
      <c r="B29" s="620"/>
      <c r="C29" s="849">
        <v>10425</v>
      </c>
      <c r="D29" s="688">
        <v>9.1</v>
      </c>
      <c r="E29" s="849">
        <v>9409</v>
      </c>
      <c r="F29" s="688">
        <v>10</v>
      </c>
      <c r="G29" s="688">
        <v>10.798171963014136</v>
      </c>
      <c r="H29" s="565">
        <v>1.068668345194923</v>
      </c>
      <c r="I29" s="609"/>
      <c r="J29" s="849">
        <v>18708</v>
      </c>
      <c r="K29" s="688">
        <v>8.4</v>
      </c>
      <c r="L29" s="849">
        <v>16185</v>
      </c>
      <c r="M29" s="688">
        <v>9</v>
      </c>
      <c r="N29" s="688">
        <v>15.588507877664505</v>
      </c>
      <c r="O29" s="565">
        <v>3.7792195620658831</v>
      </c>
      <c r="P29" s="364"/>
    </row>
    <row r="30" spans="1:17" ht="13" customHeight="1">
      <c r="A30" s="534" t="s">
        <v>17</v>
      </c>
      <c r="C30" s="847">
        <v>3775</v>
      </c>
      <c r="D30" s="689">
        <v>3.3</v>
      </c>
      <c r="E30" s="847">
        <v>2813</v>
      </c>
      <c r="F30" s="689">
        <v>3</v>
      </c>
      <c r="G30" s="690">
        <v>34.198364735158208</v>
      </c>
      <c r="H30" s="902"/>
      <c r="I30" s="609"/>
      <c r="J30" s="847">
        <v>7439</v>
      </c>
      <c r="K30" s="689">
        <v>3.3</v>
      </c>
      <c r="L30" s="847">
        <v>5473</v>
      </c>
      <c r="M30" s="689">
        <v>3</v>
      </c>
      <c r="N30" s="690">
        <v>35.921797917047328</v>
      </c>
      <c r="O30" s="902"/>
      <c r="P30" s="364"/>
    </row>
    <row r="31" spans="1:17" ht="13" customHeight="1">
      <c r="A31" s="535" t="s">
        <v>76</v>
      </c>
      <c r="B31" s="620"/>
      <c r="C31" s="849">
        <v>1084</v>
      </c>
      <c r="D31" s="688">
        <v>0.90000000000000124</v>
      </c>
      <c r="E31" s="849">
        <v>613</v>
      </c>
      <c r="F31" s="688">
        <v>0.59999999999999964</v>
      </c>
      <c r="G31" s="688">
        <v>76.83523654159869</v>
      </c>
      <c r="H31" s="903"/>
      <c r="I31" s="609"/>
      <c r="J31" s="849">
        <v>1981</v>
      </c>
      <c r="K31" s="688">
        <v>0.89999999999999947</v>
      </c>
      <c r="L31" s="849">
        <v>1306</v>
      </c>
      <c r="M31" s="688">
        <v>0.80000000000000071</v>
      </c>
      <c r="N31" s="688">
        <v>51.684532924961715</v>
      </c>
      <c r="O31" s="903"/>
      <c r="P31" s="364"/>
      <c r="Q31" s="364"/>
    </row>
    <row r="32" spans="1:17" ht="13" customHeight="1">
      <c r="A32" s="539" t="s">
        <v>63</v>
      </c>
      <c r="B32" s="620"/>
      <c r="C32" s="847">
        <v>15284</v>
      </c>
      <c r="D32" s="690">
        <v>13.3</v>
      </c>
      <c r="E32" s="847">
        <v>12835</v>
      </c>
      <c r="F32" s="690">
        <v>13.6</v>
      </c>
      <c r="G32" s="690">
        <v>19.080638878067791</v>
      </c>
      <c r="H32" s="422">
        <v>6.4984525326860165</v>
      </c>
      <c r="I32" s="306"/>
      <c r="J32" s="847">
        <v>28128</v>
      </c>
      <c r="K32" s="690">
        <v>12.6</v>
      </c>
      <c r="L32" s="847">
        <v>22964</v>
      </c>
      <c r="M32" s="690">
        <v>12.8</v>
      </c>
      <c r="N32" s="690">
        <v>22.487371538059577</v>
      </c>
      <c r="O32" s="422">
        <v>8.9943900309883418</v>
      </c>
      <c r="P32" s="364"/>
      <c r="Q32" s="364"/>
    </row>
    <row r="33" spans="1:22" s="369" customFormat="1" ht="13" customHeight="1" thickBot="1">
      <c r="A33" s="691" t="s">
        <v>18</v>
      </c>
      <c r="B33" s="692"/>
      <c r="C33" s="852">
        <v>5232.4782493515586</v>
      </c>
      <c r="D33" s="904"/>
      <c r="E33" s="853">
        <v>4711.1510402490658</v>
      </c>
      <c r="F33" s="905"/>
      <c r="G33" s="429">
        <v>11.065813951805104</v>
      </c>
      <c r="H33" s="906"/>
      <c r="I33" s="448"/>
      <c r="J33" s="852">
        <v>11120.018761386833</v>
      </c>
      <c r="K33" s="904"/>
      <c r="L33" s="853">
        <v>7815.4098628998781</v>
      </c>
      <c r="M33" s="905"/>
      <c r="N33" s="429">
        <v>42.283244979563904</v>
      </c>
      <c r="O33" s="906"/>
    </row>
    <row r="34" spans="1:22" s="369" customFormat="1" ht="13" customHeight="1">
      <c r="A34" s="409"/>
      <c r="B34" s="428"/>
      <c r="C34" s="609"/>
      <c r="D34" s="428"/>
      <c r="E34" s="626"/>
      <c r="F34" s="562"/>
      <c r="G34" s="417"/>
      <c r="H34" s="698"/>
      <c r="I34" s="448"/>
      <c r="J34" s="609"/>
      <c r="K34" s="428"/>
      <c r="L34" s="626"/>
      <c r="M34" s="562"/>
      <c r="N34" s="417"/>
      <c r="O34" s="698"/>
    </row>
    <row r="35" spans="1:22" s="366" customFormat="1" ht="15" customHeight="1">
      <c r="A35" s="601" t="s">
        <v>112</v>
      </c>
      <c r="B35" s="629"/>
      <c r="C35" s="475">
        <v>2017</v>
      </c>
      <c r="D35" s="659"/>
      <c r="E35" s="660">
        <v>2016</v>
      </c>
      <c r="F35" s="659"/>
      <c r="G35" s="475" t="s">
        <v>19</v>
      </c>
      <c r="H35" s="628"/>
      <c r="I35" s="440"/>
      <c r="J35" s="420"/>
      <c r="K35" s="420"/>
      <c r="L35" s="630"/>
      <c r="M35" s="420"/>
      <c r="N35" s="420"/>
      <c r="O35" s="440"/>
      <c r="P35" s="551"/>
      <c r="Q35" s="561"/>
      <c r="S35" s="631"/>
      <c r="T35" s="631"/>
      <c r="U35" s="374"/>
      <c r="V35" s="632"/>
    </row>
    <row r="36" spans="1:22" ht="13.5" customHeight="1">
      <c r="A36" s="899" t="s">
        <v>186</v>
      </c>
      <c r="B36" s="620"/>
      <c r="C36" s="854">
        <v>1.4019071062136235</v>
      </c>
      <c r="D36" s="633"/>
      <c r="E36" s="854">
        <v>1.36692973611932</v>
      </c>
      <c r="F36" s="439"/>
      <c r="G36" s="634">
        <v>3.4977370094303462E-2</v>
      </c>
      <c r="H36" s="635"/>
      <c r="I36" s="636"/>
      <c r="J36" s="420"/>
      <c r="K36" s="420"/>
      <c r="N36" s="420"/>
      <c r="O36" s="637"/>
      <c r="P36" s="561"/>
      <c r="Q36" s="561"/>
      <c r="R36" s="366"/>
      <c r="S36" s="363"/>
      <c r="T36" s="363"/>
      <c r="U36" s="374"/>
      <c r="V36" s="386"/>
    </row>
    <row r="37" spans="1:22" ht="13.5" customHeight="1">
      <c r="A37" s="812" t="s">
        <v>187</v>
      </c>
      <c r="B37" s="693"/>
      <c r="C37" s="855">
        <v>6.381628392484342</v>
      </c>
      <c r="D37" s="451"/>
      <c r="E37" s="855">
        <v>6.0314849624060152</v>
      </c>
      <c r="F37" s="451"/>
      <c r="G37" s="694">
        <v>0.35014343007832682</v>
      </c>
      <c r="H37" s="635"/>
      <c r="I37" s="636"/>
      <c r="J37" s="420"/>
      <c r="K37" s="420"/>
      <c r="N37" s="420"/>
      <c r="O37" s="637"/>
      <c r="P37" s="561"/>
      <c r="Q37" s="561"/>
      <c r="R37" s="366"/>
      <c r="S37" s="365"/>
      <c r="T37" s="365"/>
      <c r="U37" s="374"/>
      <c r="V37" s="374"/>
    </row>
    <row r="38" spans="1:22" ht="13.5" customHeight="1">
      <c r="A38" s="899" t="s">
        <v>188</v>
      </c>
      <c r="B38" s="620"/>
      <c r="C38" s="854">
        <v>0.90576354303467288</v>
      </c>
      <c r="D38" s="633"/>
      <c r="E38" s="854">
        <v>0.90663941014082539</v>
      </c>
      <c r="F38" s="439"/>
      <c r="G38" s="634">
        <v>-8.7586710615250585E-4</v>
      </c>
      <c r="H38" s="635"/>
      <c r="I38" s="636"/>
      <c r="J38" s="420"/>
      <c r="K38" s="420"/>
      <c r="N38" s="420"/>
      <c r="O38" s="637"/>
      <c r="P38" s="561"/>
      <c r="Q38" s="561"/>
      <c r="R38" s="366"/>
      <c r="S38" s="365"/>
      <c r="T38" s="365"/>
      <c r="U38" s="374"/>
      <c r="V38" s="374"/>
    </row>
    <row r="39" spans="1:22" ht="13.5" customHeight="1" thickBot="1">
      <c r="A39" s="676" t="s">
        <v>189</v>
      </c>
      <c r="B39" s="695"/>
      <c r="C39" s="856">
        <v>0.32289573340065642</v>
      </c>
      <c r="D39" s="696"/>
      <c r="E39" s="856">
        <v>0.31922502343383846</v>
      </c>
      <c r="F39" s="696"/>
      <c r="G39" s="697">
        <v>0.36707099668179533</v>
      </c>
      <c r="H39" s="635"/>
      <c r="I39" s="636"/>
      <c r="J39" s="420"/>
      <c r="K39" s="420"/>
      <c r="N39" s="420"/>
      <c r="O39" s="637"/>
      <c r="P39" s="561"/>
      <c r="Q39" s="561"/>
      <c r="R39" s="366"/>
      <c r="S39" s="374"/>
      <c r="T39" s="379"/>
      <c r="U39" s="374"/>
      <c r="V39" s="374"/>
    </row>
    <row r="40" spans="1:22" ht="11.15" customHeight="1">
      <c r="A40" s="877"/>
      <c r="B40" s="622"/>
      <c r="C40" s="878"/>
      <c r="D40" s="428"/>
      <c r="E40" s="878"/>
      <c r="F40" s="428"/>
      <c r="G40" s="879"/>
      <c r="H40" s="635"/>
      <c r="I40" s="636"/>
      <c r="J40" s="420"/>
      <c r="K40" s="420"/>
      <c r="N40" s="420"/>
      <c r="O40" s="637"/>
      <c r="P40" s="561"/>
      <c r="Q40" s="561"/>
      <c r="R40" s="366"/>
      <c r="S40" s="374"/>
      <c r="T40" s="379"/>
      <c r="U40" s="374"/>
      <c r="V40" s="374"/>
    </row>
    <row r="41" spans="1:22" ht="11.15" customHeight="1">
      <c r="A41" s="294"/>
      <c r="B41" s="620"/>
      <c r="C41" s="638"/>
      <c r="D41" s="420"/>
      <c r="E41" s="638"/>
      <c r="G41" s="637"/>
      <c r="H41" s="635"/>
      <c r="I41" s="636"/>
      <c r="J41" s="420"/>
      <c r="K41" s="420"/>
      <c r="N41" s="420"/>
      <c r="O41" s="637"/>
      <c r="P41" s="561"/>
      <c r="Q41" s="561"/>
      <c r="R41" s="366"/>
      <c r="S41" s="374"/>
      <c r="T41" s="379"/>
      <c r="U41" s="374"/>
      <c r="V41" s="374"/>
    </row>
    <row r="42" spans="1:22" ht="11.15" customHeight="1">
      <c r="A42" s="960" t="s">
        <v>242</v>
      </c>
      <c r="B42" s="961"/>
      <c r="C42" s="961"/>
      <c r="D42" s="961"/>
      <c r="E42" s="961"/>
      <c r="F42" s="961"/>
      <c r="G42" s="961"/>
      <c r="H42" s="961"/>
      <c r="I42" s="961"/>
      <c r="J42" s="961"/>
      <c r="K42" s="961"/>
      <c r="L42" s="961"/>
      <c r="M42" s="961"/>
      <c r="N42" s="644"/>
      <c r="O42" s="642"/>
    </row>
    <row r="43" spans="1:22" ht="11.15" customHeight="1">
      <c r="A43" s="931" t="s">
        <v>190</v>
      </c>
      <c r="B43" s="931"/>
      <c r="C43" s="931"/>
      <c r="D43" s="931"/>
      <c r="E43" s="931"/>
      <c r="F43" s="931"/>
      <c r="G43" s="931"/>
      <c r="H43" s="931"/>
      <c r="I43" s="641"/>
      <c r="J43" s="639"/>
      <c r="K43" s="640"/>
      <c r="L43" s="643"/>
      <c r="M43" s="642"/>
      <c r="N43" s="644"/>
      <c r="O43" s="642"/>
    </row>
    <row r="44" spans="1:22" ht="11.15" customHeight="1">
      <c r="A44" s="961" t="s">
        <v>191</v>
      </c>
      <c r="B44" s="961"/>
      <c r="C44" s="961"/>
      <c r="D44" s="961"/>
      <c r="E44" s="961"/>
      <c r="F44" s="961"/>
      <c r="G44" s="961"/>
      <c r="H44" s="961"/>
      <c r="I44" s="646"/>
      <c r="J44" s="647"/>
      <c r="K44" s="647"/>
      <c r="L44" s="648"/>
      <c r="M44" s="648"/>
      <c r="N44" s="647"/>
      <c r="O44" s="646"/>
      <c r="P44" s="561"/>
      <c r="Q44" s="561"/>
      <c r="R44" s="366"/>
      <c r="S44" s="379"/>
      <c r="T44" s="379"/>
      <c r="U44" s="374"/>
      <c r="V44" s="374"/>
    </row>
    <row r="45" spans="1:22" ht="11.15" customHeight="1">
      <c r="A45" s="968" t="s">
        <v>192</v>
      </c>
      <c r="B45" s="968"/>
      <c r="C45" s="968"/>
      <c r="D45" s="968"/>
      <c r="E45" s="968"/>
      <c r="F45" s="968"/>
      <c r="G45" s="968"/>
      <c r="H45" s="968"/>
      <c r="I45" s="649"/>
      <c r="J45" s="649"/>
      <c r="K45" s="649"/>
      <c r="L45" s="645"/>
      <c r="M45" s="644"/>
      <c r="N45" s="649"/>
      <c r="O45" s="644"/>
    </row>
    <row r="46" spans="1:22" ht="11.15" customHeight="1">
      <c r="A46" s="966" t="s">
        <v>193</v>
      </c>
      <c r="B46" s="966"/>
      <c r="C46" s="966"/>
      <c r="D46" s="966"/>
      <c r="E46" s="966"/>
      <c r="F46" s="966"/>
      <c r="G46" s="966"/>
      <c r="H46" s="966"/>
      <c r="I46" s="649"/>
      <c r="J46" s="649"/>
      <c r="K46" s="649"/>
      <c r="L46" s="645"/>
      <c r="M46" s="644"/>
      <c r="N46" s="649"/>
      <c r="O46" s="644"/>
      <c r="P46" s="366"/>
    </row>
    <row r="47" spans="1:22" ht="11.15" customHeight="1">
      <c r="A47" s="966" t="s">
        <v>194</v>
      </c>
      <c r="B47" s="966"/>
      <c r="C47" s="966"/>
      <c r="D47" s="966"/>
      <c r="E47" s="966"/>
      <c r="F47" s="966"/>
      <c r="G47" s="966"/>
      <c r="H47" s="966"/>
      <c r="I47" s="649"/>
      <c r="J47" s="649"/>
      <c r="K47" s="649"/>
      <c r="L47" s="645"/>
      <c r="M47" s="644"/>
      <c r="N47" s="649"/>
      <c r="O47" s="649"/>
      <c r="P47" s="366"/>
    </row>
    <row r="48" spans="1:22" ht="11.15" customHeight="1">
      <c r="A48" s="966" t="s">
        <v>195</v>
      </c>
      <c r="B48" s="966"/>
      <c r="C48" s="966"/>
      <c r="D48" s="966"/>
      <c r="E48" s="966"/>
      <c r="F48" s="966"/>
      <c r="G48" s="966"/>
      <c r="H48" s="966"/>
      <c r="I48" s="649"/>
      <c r="J48" s="649"/>
      <c r="K48" s="649"/>
      <c r="L48" s="645"/>
      <c r="M48" s="644"/>
      <c r="N48" s="649"/>
      <c r="O48" s="649"/>
      <c r="P48" s="366"/>
    </row>
    <row r="49" spans="1:16" ht="11.15" customHeight="1">
      <c r="A49" s="966" t="s">
        <v>196</v>
      </c>
      <c r="B49" s="966"/>
      <c r="C49" s="966"/>
      <c r="D49" s="966"/>
      <c r="E49" s="966"/>
      <c r="F49" s="966"/>
      <c r="G49" s="966"/>
      <c r="H49" s="966"/>
      <c r="I49" s="649"/>
      <c r="J49" s="649"/>
      <c r="K49" s="649"/>
      <c r="L49" s="645"/>
      <c r="M49" s="644"/>
      <c r="N49" s="649"/>
      <c r="O49" s="649"/>
      <c r="P49" s="366"/>
    </row>
    <row r="50" spans="1:16" ht="11.15" customHeight="1">
      <c r="A50" s="967" t="s">
        <v>20</v>
      </c>
      <c r="B50" s="967"/>
      <c r="C50" s="967"/>
      <c r="D50" s="967"/>
      <c r="E50" s="967"/>
      <c r="F50" s="967"/>
      <c r="G50" s="967"/>
      <c r="H50" s="967"/>
      <c r="I50" s="649"/>
      <c r="J50" s="650"/>
      <c r="K50" s="644"/>
      <c r="L50" s="645"/>
      <c r="M50" s="644"/>
      <c r="N50" s="644"/>
      <c r="O50" s="649"/>
      <c r="P50" s="366"/>
    </row>
    <row r="51" spans="1:16">
      <c r="A51" s="557"/>
      <c r="C51" s="651"/>
      <c r="D51" s="420"/>
      <c r="E51" s="420"/>
      <c r="I51" s="420"/>
      <c r="J51" s="653"/>
      <c r="K51" s="440"/>
      <c r="P51" s="366"/>
    </row>
    <row r="52" spans="1:16">
      <c r="A52" s="557"/>
      <c r="C52" s="420"/>
      <c r="D52" s="420"/>
      <c r="E52" s="420"/>
      <c r="I52" s="420"/>
      <c r="P52" s="366"/>
    </row>
    <row r="53" spans="1:16">
      <c r="A53" s="557"/>
      <c r="C53" s="420"/>
      <c r="D53" s="420"/>
      <c r="E53" s="420"/>
      <c r="I53" s="420"/>
      <c r="J53" s="654"/>
    </row>
    <row r="54" spans="1:16">
      <c r="A54" s="557"/>
      <c r="C54" s="420"/>
      <c r="D54" s="420"/>
      <c r="E54" s="420"/>
      <c r="I54" s="420"/>
      <c r="J54" s="652"/>
    </row>
    <row r="55" spans="1:16">
      <c r="A55" s="557"/>
      <c r="C55" s="420"/>
      <c r="D55" s="420"/>
      <c r="E55" s="420"/>
      <c r="I55" s="420"/>
      <c r="J55" s="652"/>
    </row>
    <row r="56" spans="1:16">
      <c r="A56" s="557"/>
      <c r="C56" s="420"/>
      <c r="D56" s="420"/>
      <c r="E56" s="420"/>
      <c r="I56" s="420"/>
      <c r="J56" s="652"/>
    </row>
    <row r="57" spans="1:16">
      <c r="J57" s="652"/>
    </row>
  </sheetData>
  <mergeCells count="13">
    <mergeCell ref="A48:H48"/>
    <mergeCell ref="A49:H49"/>
    <mergeCell ref="A50:H50"/>
    <mergeCell ref="A44:H44"/>
    <mergeCell ref="A45:H45"/>
    <mergeCell ref="A46:H46"/>
    <mergeCell ref="A47:H47"/>
    <mergeCell ref="A42:M42"/>
    <mergeCell ref="C5:H5"/>
    <mergeCell ref="J5:O5"/>
    <mergeCell ref="A1:O1"/>
    <mergeCell ref="A2:O2"/>
    <mergeCell ref="A3:O3"/>
  </mergeCells>
  <pageMargins left="0.19685039370078741" right="0.31496062992125984" top="0.78740157480314965" bottom="0.23622047244094491" header="0" footer="0"/>
  <pageSetup scale="68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showGridLines="0" view="pageBreakPreview" zoomScale="70" zoomScaleNormal="100" zoomScaleSheetLayoutView="70" workbookViewId="0">
      <selection activeCell="E18" sqref="E18"/>
    </sheetView>
  </sheetViews>
  <sheetFormatPr defaultColWidth="9.81640625" defaultRowHeight="15.5"/>
  <cols>
    <col min="1" max="1" width="51.453125" style="2" customWidth="1"/>
    <col min="2" max="2" width="3.81640625" style="6" customWidth="1"/>
    <col min="3" max="4" width="11.7265625" style="2" customWidth="1"/>
    <col min="5" max="5" width="13.1796875" style="2" bestFit="1" customWidth="1"/>
    <col min="6" max="7" width="11.7265625" style="6" customWidth="1"/>
    <col min="8" max="8" width="6.7265625" style="2" bestFit="1" customWidth="1"/>
    <col min="9" max="13" width="11.7265625" style="2" customWidth="1"/>
    <col min="14" max="16384" width="9.81640625" style="2"/>
  </cols>
  <sheetData>
    <row r="1" spans="1:15" ht="39" customHeight="1">
      <c r="A1" s="989" t="s">
        <v>142</v>
      </c>
      <c r="B1" s="989"/>
      <c r="C1" s="989"/>
      <c r="D1" s="989"/>
      <c r="E1" s="989"/>
      <c r="F1" s="989"/>
      <c r="G1" s="989"/>
      <c r="H1" s="244"/>
      <c r="I1" s="244"/>
      <c r="J1" s="244"/>
      <c r="K1" s="244"/>
      <c r="L1" s="244"/>
      <c r="M1" s="244"/>
      <c r="N1" s="244"/>
    </row>
    <row r="2" spans="1:15" ht="15" customHeight="1">
      <c r="A2" s="974" t="s">
        <v>22</v>
      </c>
      <c r="B2" s="974"/>
      <c r="C2" s="974"/>
      <c r="D2" s="974"/>
      <c r="E2" s="974"/>
      <c r="F2" s="974"/>
      <c r="G2" s="974"/>
      <c r="H2" s="230"/>
      <c r="I2" s="230"/>
      <c r="J2" s="230"/>
      <c r="K2" s="230"/>
      <c r="L2" s="230"/>
      <c r="M2" s="230"/>
      <c r="N2" s="230"/>
    </row>
    <row r="3" spans="1:15" ht="15" customHeight="1">
      <c r="A3" s="990" t="s">
        <v>2</v>
      </c>
      <c r="B3" s="990"/>
      <c r="C3" s="990"/>
      <c r="D3" s="990"/>
      <c r="E3" s="990"/>
      <c r="F3" s="990"/>
      <c r="G3" s="990"/>
      <c r="H3" s="240"/>
      <c r="I3" s="240"/>
      <c r="J3" s="240"/>
      <c r="K3" s="240"/>
      <c r="L3" s="240"/>
      <c r="M3" s="240"/>
      <c r="N3" s="240"/>
    </row>
    <row r="4" spans="1:15" ht="18">
      <c r="A4" s="975"/>
      <c r="B4" s="975"/>
      <c r="C4" s="975"/>
      <c r="D4" s="975"/>
      <c r="E4" s="975"/>
      <c r="F4" s="975"/>
      <c r="G4" s="975"/>
      <c r="H4" s="975"/>
      <c r="I4" s="4"/>
      <c r="J4" s="4"/>
      <c r="K4" s="4"/>
      <c r="L4" s="4"/>
      <c r="M4" s="6"/>
    </row>
    <row r="5" spans="1:15">
      <c r="A5" s="7"/>
      <c r="B5" s="8"/>
      <c r="C5" s="7"/>
      <c r="D5" s="7"/>
      <c r="E5" s="231"/>
      <c r="F5" s="8"/>
      <c r="G5" s="8"/>
      <c r="H5" s="7"/>
      <c r="I5" s="7"/>
      <c r="J5" s="10"/>
    </row>
    <row r="6" spans="1:15">
      <c r="A6" s="11"/>
      <c r="B6" s="11"/>
      <c r="C6" s="988" t="str">
        <f>+'Consolidado Resultados'!C5:H5</f>
        <v>Por el segundo trimestre de:</v>
      </c>
      <c r="D6" s="988"/>
      <c r="E6" s="988"/>
      <c r="F6" s="988"/>
      <c r="G6" s="988"/>
      <c r="H6" s="236"/>
      <c r="I6" s="988" t="s">
        <v>118</v>
      </c>
      <c r="J6" s="988"/>
      <c r="K6" s="988"/>
      <c r="L6" s="988"/>
      <c r="M6" s="988"/>
    </row>
    <row r="7" spans="1:15">
      <c r="A7" s="14"/>
      <c r="B7" s="15"/>
      <c r="C7" s="90">
        <f>+'Consolidado Resultados'!C6</f>
        <v>2017</v>
      </c>
      <c r="D7" s="17" t="s">
        <v>4</v>
      </c>
      <c r="E7" s="90">
        <f>+'Consolidado Resultados'!E6</f>
        <v>2016</v>
      </c>
      <c r="F7" s="17" t="s">
        <v>4</v>
      </c>
      <c r="G7" s="80" t="s">
        <v>111</v>
      </c>
      <c r="H7" s="236"/>
      <c r="I7" s="90">
        <v>2015</v>
      </c>
      <c r="J7" s="17" t="s">
        <v>4</v>
      </c>
      <c r="K7" s="90">
        <v>2014</v>
      </c>
      <c r="L7" s="17" t="s">
        <v>4</v>
      </c>
      <c r="M7" s="17" t="s">
        <v>111</v>
      </c>
      <c r="N7" s="20"/>
      <c r="O7" s="20"/>
    </row>
    <row r="8" spans="1:15">
      <c r="A8" s="25" t="s">
        <v>5</v>
      </c>
      <c r="B8" s="25"/>
      <c r="C8" s="42">
        <v>0</v>
      </c>
      <c r="D8" s="32" t="e">
        <f>((+C8/C$8)*100)</f>
        <v>#DIV/0!</v>
      </c>
      <c r="E8" s="42">
        <v>0</v>
      </c>
      <c r="F8" s="32" t="e">
        <f>((+E8/E$8)*100)</f>
        <v>#DIV/0!</v>
      </c>
      <c r="G8" s="33" t="e">
        <f t="shared" ref="G8:G16" si="0">IF((((C8/E8)-1)*100)&gt;=100,"N.A.",(IF((((C8/E8)-1)*100)&lt;=-100,"N.A.",(((C8/E8)-1)*100))))</f>
        <v>#DIV/0!</v>
      </c>
      <c r="H8" s="31"/>
      <c r="I8" s="42">
        <v>118954.47100000001</v>
      </c>
      <c r="J8" s="32">
        <f>((+I8/I$8)*100)</f>
        <v>100</v>
      </c>
      <c r="K8" s="42">
        <v>105552.481</v>
      </c>
      <c r="L8" s="32">
        <f>((+K8/K$8)*100)</f>
        <v>100</v>
      </c>
      <c r="M8" s="33">
        <f t="shared" ref="M8:M17" si="1">IF((((I8/K8)-1)*100)&gt;=100,"N.A.",(IF((((I8/K8)-1)*100)&lt;=-100,"N.A.",(((I8/K8)-1)*100))))</f>
        <v>12.69699193522511</v>
      </c>
    </row>
    <row r="9" spans="1:15">
      <c r="A9" s="34" t="s">
        <v>6</v>
      </c>
      <c r="B9" s="25"/>
      <c r="C9" s="42">
        <f>+C8-C10</f>
        <v>0</v>
      </c>
      <c r="D9" s="35" t="e">
        <f>D8-D10</f>
        <v>#DIV/0!</v>
      </c>
      <c r="E9" s="42">
        <f>+E8-E10</f>
        <v>0</v>
      </c>
      <c r="F9" s="35" t="e">
        <f>F8-F10</f>
        <v>#DIV/0!</v>
      </c>
      <c r="G9" s="36" t="e">
        <f t="shared" si="0"/>
        <v>#DIV/0!</v>
      </c>
      <c r="H9" s="31"/>
      <c r="I9" s="42">
        <f>+I8-I10</f>
        <v>76001.031000000003</v>
      </c>
      <c r="J9" s="35">
        <f>J8-J10</f>
        <v>63.9</v>
      </c>
      <c r="K9" s="42">
        <f>+K8-K10</f>
        <v>67493.782999999996</v>
      </c>
      <c r="L9" s="35">
        <f>L8-L10</f>
        <v>63.9</v>
      </c>
      <c r="M9" s="36">
        <f t="shared" si="1"/>
        <v>12.604491290701558</v>
      </c>
    </row>
    <row r="10" spans="1:15">
      <c r="A10" s="34" t="s">
        <v>7</v>
      </c>
      <c r="B10" s="25"/>
      <c r="C10" s="237">
        <v>0</v>
      </c>
      <c r="D10" s="35" t="e">
        <f>ROUND(((+C10/C$8)*100),1)</f>
        <v>#DIV/0!</v>
      </c>
      <c r="E10" s="237">
        <v>0</v>
      </c>
      <c r="F10" s="35" t="e">
        <f>ROUND(((+E10/E$8)*100),1)</f>
        <v>#DIV/0!</v>
      </c>
      <c r="G10" s="36" t="e">
        <f t="shared" si="0"/>
        <v>#DIV/0!</v>
      </c>
      <c r="H10" s="31"/>
      <c r="I10" s="237">
        <v>42953.440000000002</v>
      </c>
      <c r="J10" s="35">
        <f>ROUND(((+I10/I$8)*100),1)</f>
        <v>36.1</v>
      </c>
      <c r="K10" s="237">
        <v>38058.697999999997</v>
      </c>
      <c r="L10" s="35">
        <f>ROUND(((+K10/K$8)*100),1)</f>
        <v>36.1</v>
      </c>
      <c r="M10" s="36">
        <f t="shared" si="1"/>
        <v>12.861033764213392</v>
      </c>
    </row>
    <row r="11" spans="1:15">
      <c r="A11" s="44" t="s">
        <v>34</v>
      </c>
      <c r="B11" s="21"/>
      <c r="C11" s="42">
        <v>0</v>
      </c>
      <c r="D11" s="32" t="e">
        <f>ROUND(((+C11/C$8)*100),1)</f>
        <v>#DIV/0!</v>
      </c>
      <c r="E11" s="42">
        <v>0</v>
      </c>
      <c r="F11" s="32" t="e">
        <f>ROUND(((+E11/E$8)*100),1)</f>
        <v>#DIV/0!</v>
      </c>
      <c r="G11" s="33" t="e">
        <f t="shared" si="0"/>
        <v>#DIV/0!</v>
      </c>
      <c r="H11" s="159"/>
      <c r="I11" s="42">
        <v>2092.2109999999998</v>
      </c>
      <c r="J11" s="32">
        <f>ROUND(((+I11/I$8)*100),1)</f>
        <v>1.8</v>
      </c>
      <c r="K11" s="42">
        <v>1581.895</v>
      </c>
      <c r="L11" s="32">
        <f>ROUND(((+K11/K$8)*100),1)</f>
        <v>1.5</v>
      </c>
      <c r="M11" s="33">
        <f t="shared" si="1"/>
        <v>32.259789682627456</v>
      </c>
    </row>
    <row r="12" spans="1:15">
      <c r="A12" s="44" t="s">
        <v>35</v>
      </c>
      <c r="B12" s="21"/>
      <c r="C12" s="42">
        <f>+C10-C11-C13-C14</f>
        <v>0</v>
      </c>
      <c r="D12" s="32" t="e">
        <f>+D10-D11-D14-D13</f>
        <v>#DIV/0!</v>
      </c>
      <c r="E12" s="42">
        <f>+E10-E11-E13-E14</f>
        <v>0</v>
      </c>
      <c r="F12" s="32" t="e">
        <f>+F10-F11-F14-F13</f>
        <v>#DIV/0!</v>
      </c>
      <c r="G12" s="33" t="e">
        <f t="shared" si="0"/>
        <v>#DIV/0!</v>
      </c>
      <c r="H12" s="31"/>
      <c r="I12" s="42">
        <f>+I10-I11-I13-I14</f>
        <v>30267.459000000003</v>
      </c>
      <c r="J12" s="32">
        <f>+J10-J11-J14-J13</f>
        <v>25.400000000000006</v>
      </c>
      <c r="K12" s="42">
        <f>+K10-K11-K13-K14</f>
        <v>27742.816999999995</v>
      </c>
      <c r="L12" s="32">
        <f>+L10-L11-L14-L13</f>
        <v>26.3</v>
      </c>
      <c r="M12" s="33">
        <f t="shared" si="1"/>
        <v>9.1001645579106274</v>
      </c>
    </row>
    <row r="13" spans="1:15">
      <c r="A13" s="25" t="s">
        <v>75</v>
      </c>
      <c r="B13" s="25"/>
      <c r="C13" s="42">
        <v>0</v>
      </c>
      <c r="D13" s="88" t="e">
        <f>ROUND(((+C13/C$8)*100),1)</f>
        <v>#DIV/0!</v>
      </c>
      <c r="E13" s="116">
        <v>0</v>
      </c>
      <c r="F13" s="32" t="e">
        <f>ROUND(((+E13/E$8)*100),1)</f>
        <v>#DIV/0!</v>
      </c>
      <c r="G13" s="184" t="e">
        <f t="shared" si="0"/>
        <v>#DIV/0!</v>
      </c>
      <c r="H13" s="31"/>
      <c r="I13" s="42">
        <v>236.72900000000001</v>
      </c>
      <c r="J13" s="32">
        <f>ROUND(((+I13/I$8)*100),1)</f>
        <v>0.2</v>
      </c>
      <c r="K13" s="42">
        <v>176.459</v>
      </c>
      <c r="L13" s="32">
        <f>ROUND(((+K13/K$8)*100),1)</f>
        <v>0.2</v>
      </c>
      <c r="M13" s="33">
        <f t="shared" si="1"/>
        <v>34.155242860947865</v>
      </c>
    </row>
    <row r="14" spans="1:15" s="76" customFormat="1">
      <c r="A14" s="124" t="s">
        <v>72</v>
      </c>
      <c r="B14" s="125"/>
      <c r="C14" s="122">
        <v>0</v>
      </c>
      <c r="D14" s="123" t="e">
        <f>ROUND(((+C14/C$8)*100),1)</f>
        <v>#DIV/0!</v>
      </c>
      <c r="E14" s="122">
        <v>0</v>
      </c>
      <c r="F14" s="123" t="e">
        <f>ROUND(((+E14/E$8)*100),1)</f>
        <v>#DIV/0!</v>
      </c>
      <c r="G14" s="174" t="e">
        <f t="shared" si="0"/>
        <v>#DIV/0!</v>
      </c>
      <c r="H14" s="115"/>
      <c r="I14" s="122">
        <v>10357.040999999999</v>
      </c>
      <c r="J14" s="123">
        <f>ROUND(((+I14/I$8)*100),1)</f>
        <v>8.6999999999999993</v>
      </c>
      <c r="K14" s="122">
        <v>8557.527</v>
      </c>
      <c r="L14" s="123">
        <f>ROUND(((+K14/K$8)*100),1)</f>
        <v>8.1</v>
      </c>
      <c r="M14" s="174">
        <f t="shared" si="1"/>
        <v>21.02843496725162</v>
      </c>
    </row>
    <row r="15" spans="1:15" ht="15.75" customHeight="1">
      <c r="A15" s="6" t="s">
        <v>17</v>
      </c>
      <c r="C15" s="42">
        <v>0</v>
      </c>
      <c r="D15" s="62" t="e">
        <f>ROUND(((+C15/C$8)*100),1)</f>
        <v>#DIV/0!</v>
      </c>
      <c r="E15" s="42">
        <v>0</v>
      </c>
      <c r="F15" s="62" t="e">
        <f>ROUND(((+E15/E$8)*100),1)</f>
        <v>#DIV/0!</v>
      </c>
      <c r="G15" s="175" t="e">
        <f t="shared" si="0"/>
        <v>#DIV/0!</v>
      </c>
      <c r="H15" s="115"/>
      <c r="I15" s="42">
        <v>2997.886</v>
      </c>
      <c r="J15" s="62">
        <f>ROUND(((+I15/I$8)*100),1)</f>
        <v>2.5</v>
      </c>
      <c r="K15" s="42">
        <v>2724.9319999999998</v>
      </c>
      <c r="L15" s="62">
        <f>ROUND(((+K15/K$8)*100),1)</f>
        <v>2.6</v>
      </c>
      <c r="M15" s="175">
        <f t="shared" si="1"/>
        <v>10.016910513730259</v>
      </c>
    </row>
    <row r="16" spans="1:15" ht="15.75" customHeight="1">
      <c r="A16" s="64" t="s">
        <v>76</v>
      </c>
      <c r="B16" s="25"/>
      <c r="C16" s="238">
        <f>+C17-C15-C14</f>
        <v>0</v>
      </c>
      <c r="D16" s="62" t="e">
        <f>D17-D14-D15</f>
        <v>#DIV/0!</v>
      </c>
      <c r="E16" s="239">
        <f>+E17-E14-E15</f>
        <v>0</v>
      </c>
      <c r="F16" s="62" t="e">
        <f>F17-F14-F15</f>
        <v>#DIV/0!</v>
      </c>
      <c r="G16" s="224" t="e">
        <f t="shared" si="0"/>
        <v>#DIV/0!</v>
      </c>
      <c r="H16" s="115"/>
      <c r="I16" s="50">
        <f>+I17-I15-I14</f>
        <v>240.92200000000048</v>
      </c>
      <c r="J16" s="62">
        <f>J17-J14-J15</f>
        <v>0.20000000000000107</v>
      </c>
      <c r="K16" s="50">
        <f>+K17-K15-K14</f>
        <v>278.16799999999967</v>
      </c>
      <c r="L16" s="62">
        <f>L17-L14-L15</f>
        <v>0.30000000000000027</v>
      </c>
      <c r="M16" s="184">
        <f t="shared" si="1"/>
        <v>-13.389750079088614</v>
      </c>
    </row>
    <row r="17" spans="1:13" ht="15.75" customHeight="1">
      <c r="A17" s="67" t="s">
        <v>63</v>
      </c>
      <c r="B17" s="25"/>
      <c r="C17" s="42">
        <v>0</v>
      </c>
      <c r="D17" s="69" t="e">
        <f>ROUND(((+C17/C$8)*100),1)</f>
        <v>#DIV/0!</v>
      </c>
      <c r="E17" s="232">
        <v>0</v>
      </c>
      <c r="F17" s="69" t="e">
        <f>ROUND(((+E17/E$8)*100),1)</f>
        <v>#DIV/0!</v>
      </c>
      <c r="G17" s="176" t="e">
        <f>IF((((C17/E17)-1)*100)&gt;=100,"N.A.",(IF((((C17/E17)-1)*100)&lt;=-100,"N.A.",(((C17/E17)-1)*100))))-0.01</f>
        <v>#DIV/0!</v>
      </c>
      <c r="H17" s="31"/>
      <c r="I17" s="42">
        <v>13595.849</v>
      </c>
      <c r="J17" s="69">
        <f>ROUND(((+I17/I$8)*100),1)</f>
        <v>11.4</v>
      </c>
      <c r="K17" s="42">
        <v>11560.627</v>
      </c>
      <c r="L17" s="69">
        <f>ROUND(((+K17/K$8)*100),1)</f>
        <v>11</v>
      </c>
      <c r="M17" s="176">
        <f t="shared" si="1"/>
        <v>17.604771782706941</v>
      </c>
    </row>
    <row r="18" spans="1:13">
      <c r="E18" s="86"/>
      <c r="F18" s="234"/>
    </row>
    <row r="19" spans="1:13">
      <c r="C19" s="20"/>
    </row>
  </sheetData>
  <mergeCells count="6">
    <mergeCell ref="A4:H4"/>
    <mergeCell ref="C6:G6"/>
    <mergeCell ref="I6:M6"/>
    <mergeCell ref="A1:G1"/>
    <mergeCell ref="A2:G2"/>
    <mergeCell ref="A3:G3"/>
  </mergeCells>
  <printOptions horizontalCentered="1"/>
  <pageMargins left="0.43307086614173229" right="0.31496062992125984" top="0.78740157480314965" bottom="0.23622047244094491" header="0" footer="0"/>
  <pageSetup scale="8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6865" r:id="rId4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6865" r:id="rId4"/>
      </mc:Fallback>
    </mc:AlternateContent>
    <mc:AlternateContent xmlns:mc="http://schemas.openxmlformats.org/markup-compatibility/2006">
      <mc:Choice Requires="x14">
        <oleObject progId="Word.Picture.8" shapeId="36866" r:id="rId6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6866" r:id="rId6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24"/>
  <sheetViews>
    <sheetView showGridLines="0" zoomScaleNormal="100" zoomScaleSheetLayoutView="100" workbookViewId="0">
      <selection sqref="A1:O1"/>
    </sheetView>
  </sheetViews>
  <sheetFormatPr defaultColWidth="9.81640625" defaultRowHeight="10.5"/>
  <cols>
    <col min="1" max="1" width="42.7265625" style="358" customWidth="1"/>
    <col min="2" max="2" width="1.7265625" style="366" customWidth="1"/>
    <col min="3" max="8" width="7.7265625" style="358" customWidth="1"/>
    <col min="9" max="9" width="4.7265625" style="358" customWidth="1"/>
    <col min="10" max="15" width="7.7265625" style="358" customWidth="1"/>
    <col min="16" max="16" width="11.7265625" style="358" customWidth="1"/>
    <col min="17" max="16384" width="9.81640625" style="358"/>
  </cols>
  <sheetData>
    <row r="1" spans="1:19" ht="11.15" customHeight="1">
      <c r="A1" s="963" t="s">
        <v>21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</row>
    <row r="2" spans="1:19" ht="11.15" customHeight="1">
      <c r="A2" s="964" t="s">
        <v>22</v>
      </c>
      <c r="B2" s="964"/>
      <c r="C2" s="964"/>
      <c r="D2" s="964"/>
      <c r="E2" s="964"/>
      <c r="F2" s="964"/>
      <c r="G2" s="964"/>
      <c r="H2" s="964"/>
      <c r="I2" s="964"/>
      <c r="J2" s="964"/>
      <c r="K2" s="964"/>
      <c r="L2" s="964"/>
      <c r="M2" s="964"/>
      <c r="N2" s="964"/>
      <c r="O2" s="964"/>
    </row>
    <row r="3" spans="1:19" ht="11.15" customHeight="1">
      <c r="A3" s="965" t="s">
        <v>2</v>
      </c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</row>
    <row r="4" spans="1:19" ht="11.15" customHeight="1">
      <c r="A4" s="330"/>
      <c r="B4" s="331"/>
      <c r="C4" s="330"/>
      <c r="D4" s="330"/>
      <c r="E4" s="330"/>
      <c r="F4" s="330"/>
      <c r="G4" s="330"/>
      <c r="H4" s="330"/>
      <c r="I4" s="330"/>
      <c r="J4" s="330"/>
      <c r="K4" s="331"/>
      <c r="L4" s="573"/>
      <c r="M4" s="573"/>
      <c r="N4" s="330"/>
      <c r="O4" s="330"/>
    </row>
    <row r="5" spans="1:19" ht="15" customHeight="1">
      <c r="A5" s="361"/>
      <c r="B5" s="361"/>
      <c r="C5" s="962" t="s">
        <v>238</v>
      </c>
      <c r="D5" s="962"/>
      <c r="E5" s="962"/>
      <c r="F5" s="962"/>
      <c r="G5" s="962"/>
      <c r="H5" s="962"/>
      <c r="I5" s="387"/>
      <c r="J5" s="962" t="s">
        <v>118</v>
      </c>
      <c r="K5" s="962"/>
      <c r="L5" s="962"/>
      <c r="M5" s="962"/>
      <c r="N5" s="962"/>
      <c r="O5" s="962"/>
    </row>
    <row r="6" spans="1:19" s="384" customFormat="1" ht="15" customHeight="1">
      <c r="A6" s="380"/>
      <c r="B6" s="380"/>
      <c r="C6" s="381">
        <v>2017</v>
      </c>
      <c r="D6" s="381" t="s">
        <v>4</v>
      </c>
      <c r="E6" s="381">
        <v>2016</v>
      </c>
      <c r="F6" s="381" t="s">
        <v>4</v>
      </c>
      <c r="G6" s="381" t="s">
        <v>111</v>
      </c>
      <c r="H6" s="381" t="s">
        <v>178</v>
      </c>
      <c r="I6" s="381"/>
      <c r="J6" s="381">
        <v>2017</v>
      </c>
      <c r="K6" s="381" t="s">
        <v>4</v>
      </c>
      <c r="L6" s="381">
        <v>2016</v>
      </c>
      <c r="M6" s="381" t="s">
        <v>4</v>
      </c>
      <c r="N6" s="381" t="s">
        <v>111</v>
      </c>
      <c r="O6" s="381" t="s">
        <v>178</v>
      </c>
      <c r="R6" s="383"/>
      <c r="S6" s="383"/>
    </row>
    <row r="7" spans="1:19" s="366" customFormat="1" ht="11.15" customHeight="1">
      <c r="A7" s="595"/>
      <c r="B7" s="367"/>
      <c r="C7" s="587"/>
      <c r="D7" s="438"/>
      <c r="E7" s="587"/>
      <c r="F7" s="588"/>
      <c r="G7" s="579"/>
      <c r="H7" s="579"/>
      <c r="I7" s="580" t="e">
        <v>#DIV/0!</v>
      </c>
      <c r="J7" s="587"/>
      <c r="K7" s="438"/>
      <c r="L7" s="587"/>
      <c r="M7" s="588"/>
      <c r="N7" s="579"/>
      <c r="O7" s="579"/>
    </row>
    <row r="8" spans="1:19" ht="13" customHeight="1">
      <c r="A8" s="294" t="s">
        <v>179</v>
      </c>
      <c r="B8" s="273"/>
      <c r="C8" s="416">
        <v>50108</v>
      </c>
      <c r="D8" s="417">
        <v>100</v>
      </c>
      <c r="E8" s="416">
        <v>39939</v>
      </c>
      <c r="F8" s="417">
        <v>100</v>
      </c>
      <c r="G8" s="417">
        <v>25.461328526002159</v>
      </c>
      <c r="H8" s="417">
        <v>3.1770592458062463</v>
      </c>
      <c r="I8" s="581">
        <v>1.1561038109710653</v>
      </c>
      <c r="J8" s="416">
        <v>99849</v>
      </c>
      <c r="K8" s="417">
        <v>100</v>
      </c>
      <c r="L8" s="416">
        <v>76654</v>
      </c>
      <c r="M8" s="417">
        <v>100</v>
      </c>
      <c r="N8" s="417">
        <v>30.259347196493323</v>
      </c>
      <c r="O8" s="417">
        <v>8.1813852934194298</v>
      </c>
      <c r="P8" s="574"/>
    </row>
    <row r="9" spans="1:19" ht="13" customHeight="1">
      <c r="A9" s="397" t="s">
        <v>6</v>
      </c>
      <c r="B9" s="273"/>
      <c r="C9" s="845">
        <v>27282</v>
      </c>
      <c r="D9" s="419">
        <v>54.4</v>
      </c>
      <c r="E9" s="845">
        <v>21495</v>
      </c>
      <c r="F9" s="419">
        <v>53.8</v>
      </c>
      <c r="G9" s="419">
        <v>26.922540125610617</v>
      </c>
      <c r="H9" s="419"/>
      <c r="I9" s="582"/>
      <c r="J9" s="845">
        <v>55175</v>
      </c>
      <c r="K9" s="419">
        <v>55.3</v>
      </c>
      <c r="L9" s="845">
        <v>41458</v>
      </c>
      <c r="M9" s="419">
        <v>54.1</v>
      </c>
      <c r="N9" s="419">
        <v>33.086497177866761</v>
      </c>
      <c r="O9" s="419"/>
    </row>
    <row r="10" spans="1:19" ht="13" customHeight="1">
      <c r="A10" s="398" t="s">
        <v>7</v>
      </c>
      <c r="B10" s="273"/>
      <c r="C10" s="857">
        <v>22825</v>
      </c>
      <c r="D10" s="583">
        <v>45.6</v>
      </c>
      <c r="E10" s="857">
        <v>18444</v>
      </c>
      <c r="F10" s="583">
        <v>46.2</v>
      </c>
      <c r="G10" s="583">
        <v>23.752981999566259</v>
      </c>
      <c r="H10" s="583"/>
      <c r="I10" s="582"/>
      <c r="J10" s="857">
        <v>44674</v>
      </c>
      <c r="K10" s="583">
        <v>44.7</v>
      </c>
      <c r="L10" s="857">
        <v>35196</v>
      </c>
      <c r="M10" s="583">
        <v>45.9</v>
      </c>
      <c r="N10" s="583">
        <v>26.929196499602238</v>
      </c>
      <c r="O10" s="583"/>
    </row>
    <row r="11" spans="1:19" ht="13" customHeight="1">
      <c r="A11" s="399" t="s">
        <v>34</v>
      </c>
      <c r="B11" s="367"/>
      <c r="C11" s="847">
        <v>2255</v>
      </c>
      <c r="D11" s="422">
        <v>4.5</v>
      </c>
      <c r="E11" s="847">
        <v>1894</v>
      </c>
      <c r="F11" s="422">
        <v>4.7</v>
      </c>
      <c r="G11" s="422">
        <v>19.060190073917639</v>
      </c>
      <c r="H11" s="422"/>
      <c r="I11" s="582"/>
      <c r="J11" s="847">
        <v>4419</v>
      </c>
      <c r="K11" s="422">
        <v>4.4000000000000004</v>
      </c>
      <c r="L11" s="847">
        <v>3634</v>
      </c>
      <c r="M11" s="422">
        <v>4.7</v>
      </c>
      <c r="N11" s="422">
        <v>21.601541001651082</v>
      </c>
      <c r="O11" s="422"/>
    </row>
    <row r="12" spans="1:19" ht="13" customHeight="1">
      <c r="A12" s="400" t="s">
        <v>35</v>
      </c>
      <c r="B12" s="367"/>
      <c r="C12" s="431">
        <v>13913</v>
      </c>
      <c r="D12" s="418">
        <v>27.8</v>
      </c>
      <c r="E12" s="416">
        <v>10736</v>
      </c>
      <c r="F12" s="417">
        <v>26.9</v>
      </c>
      <c r="G12" s="417">
        <v>29.592026825633376</v>
      </c>
      <c r="H12" s="417"/>
      <c r="I12" s="584"/>
      <c r="J12" s="431">
        <v>27749</v>
      </c>
      <c r="K12" s="418">
        <v>27.900000000000006</v>
      </c>
      <c r="L12" s="416">
        <v>20908</v>
      </c>
      <c r="M12" s="417">
        <v>27.299999999999997</v>
      </c>
      <c r="N12" s="417">
        <v>32.719533193036156</v>
      </c>
      <c r="O12" s="417"/>
    </row>
    <row r="13" spans="1:19" ht="13" customHeight="1">
      <c r="A13" s="397" t="s">
        <v>75</v>
      </c>
      <c r="C13" s="845">
        <v>166</v>
      </c>
      <c r="D13" s="419">
        <v>0.3</v>
      </c>
      <c r="E13" s="845">
        <v>-190</v>
      </c>
      <c r="F13" s="419">
        <v>-0.5</v>
      </c>
      <c r="G13" s="419">
        <v>-187.36842105263159</v>
      </c>
      <c r="H13" s="419"/>
      <c r="I13" s="584"/>
      <c r="J13" s="845">
        <v>-269</v>
      </c>
      <c r="K13" s="419">
        <v>-0.3</v>
      </c>
      <c r="L13" s="845">
        <v>-217</v>
      </c>
      <c r="M13" s="419">
        <v>-0.3</v>
      </c>
      <c r="N13" s="419">
        <v>23.963133640553004</v>
      </c>
      <c r="O13" s="419"/>
    </row>
    <row r="14" spans="1:19" s="369" customFormat="1" ht="13" customHeight="1">
      <c r="A14" s="401" t="s">
        <v>72</v>
      </c>
      <c r="B14" s="368"/>
      <c r="C14" s="846">
        <v>6491</v>
      </c>
      <c r="D14" s="421">
        <v>13</v>
      </c>
      <c r="E14" s="846">
        <v>6004</v>
      </c>
      <c r="F14" s="421">
        <v>15</v>
      </c>
      <c r="G14" s="421">
        <v>8.1112591605596371</v>
      </c>
      <c r="H14" s="421">
        <v>-5.4473699052011941</v>
      </c>
      <c r="I14" s="581">
        <v>7.4128620520373056</v>
      </c>
      <c r="J14" s="846">
        <v>12775</v>
      </c>
      <c r="K14" s="421">
        <v>12.8</v>
      </c>
      <c r="L14" s="846">
        <v>10871</v>
      </c>
      <c r="M14" s="421">
        <v>14.2</v>
      </c>
      <c r="N14" s="421">
        <v>17.514488087572431</v>
      </c>
      <c r="O14" s="421">
        <v>1.4647202265406056</v>
      </c>
    </row>
    <row r="15" spans="1:19" ht="13" customHeight="1">
      <c r="A15" s="402" t="s">
        <v>17</v>
      </c>
      <c r="C15" s="847">
        <v>2477</v>
      </c>
      <c r="D15" s="422">
        <v>4.9000000000000004</v>
      </c>
      <c r="E15" s="847">
        <v>1718</v>
      </c>
      <c r="F15" s="422">
        <v>4.3</v>
      </c>
      <c r="G15" s="422">
        <v>44.179278230500586</v>
      </c>
      <c r="H15" s="422"/>
      <c r="I15" s="584"/>
      <c r="J15" s="847">
        <v>4839</v>
      </c>
      <c r="K15" s="422">
        <v>4.8</v>
      </c>
      <c r="L15" s="847">
        <v>3323</v>
      </c>
      <c r="M15" s="422">
        <v>4.3</v>
      </c>
      <c r="N15" s="422">
        <v>45.62142642190792</v>
      </c>
      <c r="O15" s="422"/>
    </row>
    <row r="16" spans="1:19" ht="13" customHeight="1">
      <c r="A16" s="403" t="s">
        <v>76</v>
      </c>
      <c r="B16" s="273"/>
      <c r="C16" s="849">
        <v>802</v>
      </c>
      <c r="D16" s="425">
        <v>1.5999999999999996</v>
      </c>
      <c r="E16" s="849">
        <v>369</v>
      </c>
      <c r="F16" s="425">
        <v>1.0000000000000009</v>
      </c>
      <c r="G16" s="425">
        <v>117.34417344173443</v>
      </c>
      <c r="H16" s="425"/>
      <c r="I16" s="584"/>
      <c r="J16" s="849">
        <v>1387</v>
      </c>
      <c r="K16" s="425">
        <v>1.3999999999999995</v>
      </c>
      <c r="L16" s="849">
        <v>849</v>
      </c>
      <c r="M16" s="425">
        <v>1.1000000000000023</v>
      </c>
      <c r="N16" s="425">
        <v>63.268669022379278</v>
      </c>
      <c r="O16" s="425"/>
    </row>
    <row r="17" spans="1:16" ht="13" customHeight="1">
      <c r="A17" s="404" t="s">
        <v>182</v>
      </c>
      <c r="B17" s="273"/>
      <c r="C17" s="847">
        <v>9770</v>
      </c>
      <c r="D17" s="422">
        <v>19.5</v>
      </c>
      <c r="E17" s="847">
        <v>8091</v>
      </c>
      <c r="F17" s="422">
        <v>20.3</v>
      </c>
      <c r="G17" s="422">
        <v>20.651452230873801</v>
      </c>
      <c r="H17" s="422">
        <v>2.3836990094260768</v>
      </c>
      <c r="I17" s="581">
        <v>7.8677110530896321</v>
      </c>
      <c r="J17" s="847">
        <v>19000</v>
      </c>
      <c r="K17" s="422">
        <v>19</v>
      </c>
      <c r="L17" s="847">
        <v>15043</v>
      </c>
      <c r="M17" s="422">
        <v>19.600000000000001</v>
      </c>
      <c r="N17" s="422">
        <v>26.304593498637232</v>
      </c>
      <c r="O17" s="422">
        <v>7.1452448015218328</v>
      </c>
    </row>
    <row r="18" spans="1:16" s="371" customFormat="1" ht="13" customHeight="1" thickBot="1">
      <c r="A18" s="405" t="s">
        <v>18</v>
      </c>
      <c r="B18" s="389"/>
      <c r="C18" s="852">
        <v>2539.0292712265314</v>
      </c>
      <c r="D18" s="427"/>
      <c r="E18" s="853">
        <v>2555.0322815868767</v>
      </c>
      <c r="F18" s="429"/>
      <c r="G18" s="429">
        <v>-0.62633300078722698</v>
      </c>
      <c r="H18" s="429"/>
      <c r="I18" s="585"/>
      <c r="J18" s="852">
        <v>6425.1186448966782</v>
      </c>
      <c r="K18" s="427"/>
      <c r="L18" s="853">
        <v>4035.8516028380986</v>
      </c>
      <c r="M18" s="429"/>
      <c r="N18" s="429">
        <v>59.201062803656981</v>
      </c>
      <c r="O18" s="429"/>
      <c r="P18" s="369"/>
    </row>
    <row r="19" spans="1:16" ht="11.15" customHeight="1">
      <c r="A19" s="557"/>
      <c r="C19" s="416"/>
      <c r="D19" s="417"/>
      <c r="E19" s="416"/>
      <c r="F19" s="417"/>
      <c r="G19" s="417"/>
      <c r="H19" s="417"/>
      <c r="I19" s="586"/>
      <c r="J19" s="416"/>
      <c r="K19" s="417"/>
      <c r="L19" s="416"/>
      <c r="M19" s="417"/>
      <c r="N19" s="417"/>
      <c r="O19" s="436"/>
    </row>
    <row r="20" spans="1:16" ht="15" customHeight="1">
      <c r="A20" s="407" t="s">
        <v>24</v>
      </c>
      <c r="B20" s="385"/>
      <c r="C20" s="416"/>
      <c r="D20" s="417"/>
      <c r="E20" s="416"/>
      <c r="F20" s="417"/>
      <c r="G20" s="417"/>
      <c r="H20" s="417"/>
      <c r="I20" s="589"/>
      <c r="J20" s="416"/>
      <c r="K20" s="417"/>
      <c r="L20" s="416"/>
      <c r="M20" s="417"/>
      <c r="N20" s="417"/>
      <c r="O20" s="442"/>
    </row>
    <row r="21" spans="1:16" ht="13" customHeight="1">
      <c r="A21" s="872" t="s">
        <v>25</v>
      </c>
      <c r="B21" s="273"/>
      <c r="C21" s="590"/>
      <c r="D21" s="590"/>
      <c r="E21" s="590"/>
      <c r="F21" s="590"/>
      <c r="G21" s="590"/>
      <c r="H21" s="417"/>
      <c r="I21" s="591"/>
      <c r="J21" s="590"/>
      <c r="K21" s="590"/>
      <c r="L21" s="590"/>
      <c r="M21" s="590"/>
      <c r="N21" s="590"/>
      <c r="O21" s="442"/>
    </row>
    <row r="22" spans="1:16" ht="13" customHeight="1">
      <c r="A22" s="596" t="s">
        <v>26</v>
      </c>
      <c r="B22" s="369"/>
      <c r="C22" s="458">
        <v>543.79999999999995</v>
      </c>
      <c r="D22" s="418">
        <v>54.65</v>
      </c>
      <c r="E22" s="458">
        <v>541.60580250650298</v>
      </c>
      <c r="F22" s="418">
        <v>64.22</v>
      </c>
      <c r="G22" s="418">
        <v>0.40512813624640209</v>
      </c>
      <c r="H22" s="418"/>
      <c r="I22" s="562"/>
      <c r="J22" s="458">
        <v>1016.7</v>
      </c>
      <c r="K22" s="418">
        <v>54.19</v>
      </c>
      <c r="L22" s="458">
        <v>1001.5128946476241</v>
      </c>
      <c r="M22" s="418">
        <v>60.36</v>
      </c>
      <c r="N22" s="418">
        <v>1.5164163570474454</v>
      </c>
      <c r="O22" s="438"/>
    </row>
    <row r="23" spans="1:16" ht="13" customHeight="1">
      <c r="A23" s="597" t="s">
        <v>27</v>
      </c>
      <c r="B23" s="559"/>
      <c r="C23" s="447">
        <v>124.5</v>
      </c>
      <c r="D23" s="422">
        <v>12.51</v>
      </c>
      <c r="E23" s="447">
        <v>153.71801783595649</v>
      </c>
      <c r="F23" s="422">
        <v>18.23</v>
      </c>
      <c r="G23" s="422">
        <v>-19.007542672803091</v>
      </c>
      <c r="H23" s="418"/>
      <c r="I23" s="562"/>
      <c r="J23" s="447">
        <v>250.29999999999998</v>
      </c>
      <c r="K23" s="422">
        <v>13.34</v>
      </c>
      <c r="L23" s="447">
        <v>343.22377886532161</v>
      </c>
      <c r="M23" s="422">
        <v>20.63</v>
      </c>
      <c r="N23" s="422">
        <v>-27.073817313160053</v>
      </c>
      <c r="O23" s="438"/>
    </row>
    <row r="24" spans="1:16" ht="13" customHeight="1">
      <c r="A24" s="895" t="s">
        <v>32</v>
      </c>
      <c r="B24" s="559"/>
      <c r="C24" s="458">
        <v>166.4</v>
      </c>
      <c r="D24" s="418">
        <v>16.72</v>
      </c>
      <c r="E24" s="458">
        <v>147.991308952</v>
      </c>
      <c r="F24" s="418">
        <v>17.55</v>
      </c>
      <c r="G24" s="418">
        <v>12.439035223325678</v>
      </c>
      <c r="H24" s="418"/>
      <c r="I24" s="562"/>
      <c r="J24" s="458">
        <v>356.4</v>
      </c>
      <c r="K24" s="418">
        <v>19</v>
      </c>
      <c r="L24" s="458">
        <v>314.618421926</v>
      </c>
      <c r="M24" s="418">
        <v>18.96</v>
      </c>
      <c r="N24" s="418">
        <v>13.280079983309822</v>
      </c>
      <c r="O24" s="438"/>
    </row>
    <row r="25" spans="1:16" ht="13" customHeight="1">
      <c r="A25" s="597" t="s">
        <v>176</v>
      </c>
      <c r="B25" s="559"/>
      <c r="C25" s="447">
        <v>160.5</v>
      </c>
      <c r="D25" s="422">
        <v>16.13</v>
      </c>
      <c r="E25" s="447"/>
      <c r="F25" s="422">
        <v>0</v>
      </c>
      <c r="G25" s="422" t="s">
        <v>232</v>
      </c>
      <c r="H25" s="418"/>
      <c r="I25" s="562"/>
      <c r="J25" s="447">
        <v>252.8</v>
      </c>
      <c r="K25" s="422">
        <v>13.47</v>
      </c>
      <c r="L25" s="447"/>
      <c r="M25" s="422"/>
      <c r="N25" s="422" t="s">
        <v>232</v>
      </c>
      <c r="O25" s="438"/>
    </row>
    <row r="26" spans="1:16" ht="13" customHeight="1" thickBot="1">
      <c r="A26" s="691" t="s">
        <v>28</v>
      </c>
      <c r="B26" s="560"/>
      <c r="C26" s="896">
        <v>995.19999999999993</v>
      </c>
      <c r="D26" s="427">
        <v>100.00999999999999</v>
      </c>
      <c r="E26" s="896">
        <v>843.31512929445944</v>
      </c>
      <c r="F26" s="427">
        <v>100</v>
      </c>
      <c r="G26" s="427">
        <v>18.010452490353334</v>
      </c>
      <c r="H26" s="418"/>
      <c r="I26" s="418"/>
      <c r="J26" s="896">
        <v>1876.2</v>
      </c>
      <c r="K26" s="427">
        <v>100</v>
      </c>
      <c r="L26" s="896">
        <v>1659.3550954389457</v>
      </c>
      <c r="M26" s="427">
        <v>99.949999999999989</v>
      </c>
      <c r="N26" s="427">
        <v>13.068022941990787</v>
      </c>
      <c r="O26" s="417"/>
    </row>
    <row r="27" spans="1:16" ht="11.15" customHeight="1">
      <c r="A27" s="370"/>
      <c r="B27" s="376"/>
      <c r="C27" s="458"/>
      <c r="D27" s="592"/>
      <c r="E27" s="458"/>
      <c r="F27" s="592"/>
      <c r="G27" s="418"/>
      <c r="H27" s="418"/>
      <c r="I27" s="418"/>
      <c r="J27" s="593"/>
      <c r="K27" s="594"/>
      <c r="L27" s="593"/>
      <c r="M27" s="594"/>
      <c r="N27" s="417"/>
      <c r="O27" s="417"/>
    </row>
    <row r="28" spans="1:16" ht="11.15" customHeight="1">
      <c r="A28" s="575"/>
      <c r="B28" s="370"/>
      <c r="C28" s="576"/>
      <c r="D28" s="577"/>
      <c r="E28" s="576"/>
      <c r="F28" s="375"/>
      <c r="G28" s="375"/>
      <c r="H28" s="375"/>
      <c r="I28" s="375"/>
      <c r="J28" s="374"/>
      <c r="K28" s="273"/>
      <c r="L28" s="578"/>
      <c r="M28" s="578"/>
      <c r="N28" s="273"/>
      <c r="O28" s="273"/>
    </row>
    <row r="29" spans="1:16" ht="20.149999999999999" customHeight="1">
      <c r="A29" s="992" t="s">
        <v>243</v>
      </c>
      <c r="B29" s="992"/>
      <c r="C29" s="992"/>
      <c r="D29" s="992"/>
      <c r="E29" s="992"/>
      <c r="F29" s="992"/>
      <c r="G29" s="992"/>
      <c r="H29" s="992"/>
      <c r="I29" s="992"/>
      <c r="J29" s="992"/>
      <c r="K29" s="992"/>
      <c r="L29" s="992"/>
      <c r="M29" s="992"/>
      <c r="N29" s="378"/>
      <c r="O29" s="378"/>
      <c r="P29" s="378"/>
    </row>
    <row r="30" spans="1:16" ht="11.15" customHeight="1">
      <c r="A30" s="991"/>
      <c r="B30" s="991"/>
      <c r="C30" s="991"/>
      <c r="D30" s="991"/>
      <c r="E30" s="991"/>
      <c r="F30" s="991"/>
      <c r="G30" s="991"/>
      <c r="H30" s="991"/>
      <c r="I30" s="991"/>
      <c r="J30" s="374"/>
      <c r="K30" s="273"/>
      <c r="L30" s="578"/>
      <c r="M30" s="578"/>
      <c r="N30" s="273"/>
      <c r="O30" s="273"/>
    </row>
    <row r="31" spans="1:16" s="934" customFormat="1" ht="11.15" customHeight="1">
      <c r="A31" s="957"/>
      <c r="C31" s="937"/>
      <c r="D31" s="938"/>
      <c r="E31" s="937"/>
      <c r="F31" s="939"/>
      <c r="G31" s="939"/>
      <c r="H31" s="939"/>
      <c r="I31" s="939"/>
      <c r="J31" s="940"/>
      <c r="K31" s="939"/>
      <c r="L31" s="941"/>
      <c r="M31" s="941"/>
      <c r="N31" s="939"/>
      <c r="O31" s="939"/>
    </row>
    <row r="32" spans="1:16" s="934" customFormat="1" ht="11.15" customHeight="1">
      <c r="A32" s="957"/>
      <c r="C32" s="937"/>
      <c r="D32" s="938"/>
      <c r="E32" s="937"/>
      <c r="F32" s="939"/>
      <c r="G32" s="939"/>
      <c r="H32" s="939"/>
      <c r="I32" s="939"/>
      <c r="J32" s="940"/>
      <c r="K32" s="939"/>
      <c r="L32" s="941"/>
      <c r="M32" s="941"/>
      <c r="N32" s="939"/>
      <c r="O32" s="939"/>
    </row>
    <row r="33" spans="1:15" s="934" customFormat="1" ht="11.15" customHeight="1"/>
    <row r="34" spans="1:15" s="934" customFormat="1" ht="11.15" customHeight="1">
      <c r="A34" s="957"/>
      <c r="C34" s="937"/>
      <c r="D34" s="938"/>
      <c r="E34" s="937"/>
      <c r="F34" s="939"/>
      <c r="G34" s="939"/>
      <c r="H34" s="939"/>
      <c r="I34" s="939"/>
      <c r="J34" s="940"/>
      <c r="K34" s="939"/>
      <c r="L34" s="941"/>
      <c r="M34" s="941"/>
      <c r="N34" s="939"/>
      <c r="O34" s="939"/>
    </row>
    <row r="35" spans="1:15" s="934" customFormat="1">
      <c r="A35" s="942"/>
      <c r="B35" s="942"/>
      <c r="C35" s="958"/>
      <c r="D35" s="959"/>
      <c r="E35" s="958"/>
      <c r="F35" s="942"/>
      <c r="G35" s="943"/>
      <c r="H35" s="943"/>
      <c r="I35" s="940"/>
      <c r="J35" s="958"/>
      <c r="K35" s="942"/>
      <c r="L35" s="958"/>
      <c r="M35" s="942"/>
    </row>
    <row r="36" spans="1:15" s="934" customFormat="1">
      <c r="B36" s="944"/>
      <c r="C36" s="958"/>
      <c r="D36" s="959"/>
      <c r="E36" s="958"/>
      <c r="F36" s="942"/>
      <c r="G36" s="943"/>
      <c r="H36" s="943"/>
      <c r="I36" s="940"/>
      <c r="J36" s="945"/>
      <c r="K36" s="959"/>
      <c r="L36" s="945"/>
      <c r="M36" s="942"/>
    </row>
    <row r="37" spans="1:15" s="934" customFormat="1">
      <c r="A37" s="942"/>
      <c r="B37" s="942"/>
      <c r="C37" s="942"/>
      <c r="D37" s="942"/>
      <c r="E37" s="942"/>
      <c r="F37" s="942"/>
      <c r="G37" s="942"/>
      <c r="H37" s="942"/>
      <c r="I37" s="942"/>
      <c r="J37" s="942"/>
      <c r="K37" s="942"/>
      <c r="L37" s="942"/>
      <c r="M37" s="942"/>
    </row>
    <row r="38" spans="1:15" s="934" customFormat="1">
      <c r="A38" s="942"/>
      <c r="B38" s="942"/>
      <c r="C38" s="942"/>
      <c r="D38" s="942"/>
      <c r="E38" s="942"/>
      <c r="F38" s="942"/>
      <c r="G38" s="942"/>
      <c r="H38" s="942"/>
      <c r="I38" s="942"/>
      <c r="J38" s="942"/>
      <c r="K38" s="942"/>
      <c r="L38" s="942"/>
      <c r="M38" s="942"/>
    </row>
    <row r="39" spans="1:15" s="934" customFormat="1">
      <c r="A39" s="942"/>
      <c r="B39" s="942"/>
      <c r="C39" s="946"/>
      <c r="D39" s="959"/>
      <c r="E39" s="946"/>
      <c r="F39" s="942"/>
      <c r="G39" s="940"/>
      <c r="H39" s="940"/>
      <c r="I39" s="940"/>
      <c r="J39" s="946"/>
      <c r="K39" s="959"/>
      <c r="L39" s="946"/>
      <c r="M39" s="942"/>
    </row>
    <row r="40" spans="1:15" s="934" customFormat="1">
      <c r="B40" s="944"/>
      <c r="C40" s="958"/>
      <c r="D40" s="959"/>
      <c r="E40" s="958"/>
      <c r="F40" s="942"/>
      <c r="G40" s="940"/>
      <c r="H40" s="940"/>
      <c r="I40" s="940"/>
      <c r="J40" s="945"/>
      <c r="K40" s="959"/>
      <c r="L40" s="945"/>
      <c r="M40" s="942"/>
    </row>
    <row r="41" spans="1:15" s="934" customFormat="1">
      <c r="B41" s="944"/>
      <c r="C41" s="958"/>
      <c r="D41" s="959"/>
      <c r="E41" s="958"/>
      <c r="F41" s="942"/>
      <c r="G41" s="940"/>
      <c r="H41" s="940"/>
      <c r="I41" s="940"/>
      <c r="J41" s="945"/>
      <c r="K41" s="959"/>
      <c r="L41" s="945"/>
      <c r="M41" s="942"/>
    </row>
    <row r="42" spans="1:15" s="934" customFormat="1">
      <c r="B42" s="944"/>
      <c r="C42" s="945"/>
      <c r="D42" s="942"/>
      <c r="E42" s="945"/>
      <c r="F42" s="942"/>
      <c r="G42" s="943"/>
      <c r="H42" s="943"/>
      <c r="I42" s="942"/>
      <c r="J42" s="945"/>
      <c r="K42" s="942"/>
      <c r="L42" s="945"/>
      <c r="M42" s="942"/>
    </row>
    <row r="43" spans="1:15" s="934" customFormat="1">
      <c r="B43" s="944"/>
      <c r="C43" s="958"/>
      <c r="D43" s="942"/>
      <c r="E43" s="958"/>
      <c r="F43" s="942"/>
      <c r="G43" s="942"/>
      <c r="H43" s="942"/>
      <c r="I43" s="942"/>
      <c r="J43" s="945"/>
      <c r="K43" s="942"/>
      <c r="L43" s="945"/>
      <c r="M43" s="942"/>
    </row>
    <row r="44" spans="1:15" s="934" customFormat="1"/>
    <row r="45" spans="1:15" s="934" customFormat="1"/>
    <row r="46" spans="1:15" s="934" customFormat="1">
      <c r="C46" s="947"/>
      <c r="E46" s="947"/>
      <c r="G46" s="943"/>
      <c r="H46" s="943"/>
    </row>
    <row r="47" spans="1:15" s="934" customFormat="1"/>
    <row r="48" spans="1:15" s="934" customFormat="1"/>
    <row r="49" spans="1:12" s="934" customFormat="1"/>
    <row r="50" spans="1:12" s="934" customFormat="1" ht="15.5">
      <c r="A50" s="948"/>
    </row>
    <row r="51" spans="1:12" s="934" customFormat="1" ht="15.5">
      <c r="A51" s="948"/>
      <c r="B51" s="948"/>
      <c r="C51" s="949"/>
      <c r="D51" s="949"/>
      <c r="E51" s="949"/>
      <c r="H51" s="950"/>
      <c r="J51" s="951"/>
      <c r="K51" s="951"/>
      <c r="L51" s="951"/>
    </row>
    <row r="52" spans="1:12" s="934" customFormat="1" ht="15.5">
      <c r="A52" s="948"/>
      <c r="B52" s="948"/>
      <c r="C52" s="952"/>
      <c r="D52" s="952"/>
      <c r="E52" s="952"/>
      <c r="F52" s="953"/>
      <c r="G52" s="953"/>
      <c r="H52" s="950"/>
      <c r="I52" s="953"/>
      <c r="J52" s="953"/>
      <c r="K52" s="953"/>
      <c r="L52" s="953"/>
    </row>
    <row r="53" spans="1:12" s="934" customFormat="1" ht="15.5">
      <c r="A53" s="948"/>
      <c r="B53" s="948"/>
      <c r="C53" s="949"/>
      <c r="D53" s="949"/>
      <c r="E53" s="949"/>
      <c r="H53" s="950"/>
      <c r="J53" s="956"/>
      <c r="K53" s="956"/>
      <c r="L53" s="956"/>
    </row>
    <row r="54" spans="1:12" s="934" customFormat="1" ht="15.5">
      <c r="A54" s="948"/>
      <c r="B54" s="948"/>
      <c r="C54" s="952"/>
      <c r="D54" s="952"/>
      <c r="E54" s="952"/>
      <c r="H54" s="950"/>
      <c r="J54" s="951"/>
      <c r="K54" s="951"/>
      <c r="L54" s="951"/>
    </row>
    <row r="55" spans="1:12" s="934" customFormat="1">
      <c r="H55" s="950"/>
      <c r="J55" s="951"/>
      <c r="K55" s="951"/>
      <c r="L55" s="951"/>
    </row>
    <row r="56" spans="1:12" s="934" customFormat="1" ht="15.75" customHeight="1">
      <c r="A56" s="954"/>
      <c r="B56" s="955"/>
      <c r="C56" s="955"/>
    </row>
    <row r="57" spans="1:12" s="934" customFormat="1" ht="15.75" customHeight="1">
      <c r="B57" s="956"/>
      <c r="C57" s="956"/>
    </row>
    <row r="58" spans="1:12" s="934" customFormat="1" ht="15.75" customHeight="1">
      <c r="B58" s="956"/>
      <c r="C58" s="956"/>
      <c r="D58" s="951"/>
    </row>
    <row r="59" spans="1:12" s="934" customFormat="1" ht="15.75" customHeight="1">
      <c r="B59" s="956"/>
      <c r="I59" s="956"/>
    </row>
    <row r="60" spans="1:12" s="934" customFormat="1" ht="15.5">
      <c r="A60" s="948"/>
      <c r="C60" s="949"/>
      <c r="D60" s="949"/>
      <c r="E60" s="949"/>
      <c r="H60" s="948"/>
      <c r="J60" s="949"/>
      <c r="K60" s="949"/>
      <c r="L60" s="949"/>
    </row>
    <row r="61" spans="1:12" s="934" customFormat="1" ht="15.5">
      <c r="A61" s="948"/>
      <c r="C61" s="949"/>
      <c r="D61" s="949"/>
      <c r="E61" s="949"/>
      <c r="H61" s="948"/>
      <c r="J61" s="949"/>
      <c r="K61" s="949"/>
      <c r="L61" s="949"/>
    </row>
    <row r="62" spans="1:12" s="934" customFormat="1" ht="15.5">
      <c r="A62" s="948"/>
      <c r="C62" s="949"/>
      <c r="D62" s="949"/>
      <c r="E62" s="949"/>
      <c r="H62" s="948"/>
      <c r="J62" s="949"/>
      <c r="K62" s="949"/>
      <c r="L62" s="949"/>
    </row>
    <row r="63" spans="1:12" s="934" customFormat="1"/>
    <row r="64" spans="1:12" s="934" customFormat="1"/>
    <row r="65" s="934" customFormat="1"/>
    <row r="66" s="934" customFormat="1"/>
    <row r="67" s="934" customFormat="1"/>
    <row r="68" s="934" customFormat="1"/>
    <row r="69" s="934" customFormat="1"/>
    <row r="70" s="934" customFormat="1"/>
    <row r="71" s="934" customFormat="1"/>
    <row r="72" s="934" customFormat="1"/>
    <row r="73" s="934" customFormat="1"/>
    <row r="74" s="934" customFormat="1"/>
    <row r="75" s="934" customFormat="1"/>
    <row r="76" s="934" customFormat="1"/>
    <row r="77" s="934" customFormat="1"/>
    <row r="78" s="934" customFormat="1"/>
    <row r="79" s="934" customFormat="1"/>
    <row r="80" s="934" customFormat="1"/>
    <row r="81" s="934" customFormat="1"/>
    <row r="82" s="934" customFormat="1"/>
    <row r="83" s="934" customFormat="1"/>
    <row r="84" s="934" customFormat="1"/>
    <row r="85" s="934" customFormat="1"/>
    <row r="86" s="934" customFormat="1"/>
    <row r="87" s="934" customFormat="1"/>
    <row r="88" s="934" customFormat="1"/>
    <row r="89" s="934" customFormat="1"/>
    <row r="90" s="934" customFormat="1"/>
    <row r="91" s="934" customFormat="1"/>
    <row r="92" s="934" customFormat="1"/>
    <row r="93" s="934" customFormat="1"/>
    <row r="94" s="934" customFormat="1"/>
    <row r="95" s="934" customFormat="1"/>
    <row r="96" s="934" customFormat="1"/>
    <row r="97" s="934" customFormat="1"/>
    <row r="98" s="934" customFormat="1"/>
    <row r="99" s="934" customFormat="1"/>
    <row r="100" s="934" customFormat="1"/>
    <row r="101" s="934" customFormat="1"/>
    <row r="102" s="934" customFormat="1"/>
    <row r="103" s="934" customFormat="1"/>
    <row r="104" s="934" customFormat="1"/>
    <row r="105" s="934" customFormat="1"/>
    <row r="106" s="934" customFormat="1"/>
    <row r="107" s="934" customFormat="1"/>
    <row r="108" s="934" customFormat="1"/>
    <row r="109" s="934" customFormat="1"/>
    <row r="110" s="934" customFormat="1"/>
    <row r="111" s="934" customFormat="1"/>
    <row r="112" s="934" customFormat="1"/>
    <row r="113" s="934" customFormat="1"/>
    <row r="114" s="934" customFormat="1"/>
    <row r="115" s="934" customFormat="1"/>
    <row r="116" s="934" customFormat="1"/>
    <row r="117" s="934" customFormat="1"/>
    <row r="118" s="934" customFormat="1"/>
    <row r="119" s="934" customFormat="1"/>
    <row r="120" s="934" customFormat="1"/>
    <row r="121" s="934" customFormat="1"/>
    <row r="122" s="934" customFormat="1"/>
    <row r="123" s="934" customFormat="1"/>
    <row r="124" s="934" customFormat="1"/>
  </sheetData>
  <mergeCells count="7">
    <mergeCell ref="A30:I30"/>
    <mergeCell ref="C5:H5"/>
    <mergeCell ref="J5:O5"/>
    <mergeCell ref="A1:O1"/>
    <mergeCell ref="A2:O2"/>
    <mergeCell ref="A3:O3"/>
    <mergeCell ref="A29:M29"/>
  </mergeCells>
  <pageMargins left="0.19685039370078741" right="0.31496062992125984" top="0.78740157480314965" bottom="0.23622047244094491" header="0" footer="0"/>
  <pageSetup scale="66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 sizeWithCells="1">
              <from>
                <xdr:col>4</xdr:col>
                <xdr:colOff>0</xdr:colOff>
                <xdr:row>59</xdr:row>
                <xdr:rowOff>0</xdr:rowOff>
              </from>
              <to>
                <xdr:col>4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5121" r:id="rId4"/>
      </mc:Fallback>
    </mc:AlternateContent>
    <mc:AlternateContent xmlns:mc="http://schemas.openxmlformats.org/markup-compatibility/2006">
      <mc:Choice Requires="x14">
        <oleObject progId="Word.Picture.8" shapeId="5122" r:id="rId6">
          <objectPr defaultSize="0" autoPict="0" r:id="rId5">
            <anchor moveWithCells="1" sizeWithCells="1">
              <from>
                <xdr:col>4</xdr:col>
                <xdr:colOff>0</xdr:colOff>
                <xdr:row>28</xdr:row>
                <xdr:rowOff>0</xdr:rowOff>
              </from>
              <to>
                <xdr:col>4</xdr:col>
                <xdr:colOff>0</xdr:colOff>
                <xdr:row>28</xdr:row>
                <xdr:rowOff>50800</xdr:rowOff>
              </to>
            </anchor>
          </objectPr>
        </oleObject>
      </mc:Choice>
      <mc:Fallback>
        <oleObject progId="Word.Picture.8" shapeId="5122" r:id="rId6"/>
      </mc:Fallback>
    </mc:AlternateContent>
    <mc:AlternateContent xmlns:mc="http://schemas.openxmlformats.org/markup-compatibility/2006">
      <mc:Choice Requires="x14">
        <oleObject progId="Word.Picture.8" shapeId="5123" r:id="rId7">
          <objectPr defaultSize="0" autoPict="0" r:id="rId5">
            <anchor moveWithCells="1" sizeWithCells="1">
              <from>
                <xdr:col>11</xdr:col>
                <xdr:colOff>0</xdr:colOff>
                <xdr:row>59</xdr:row>
                <xdr:rowOff>0</xdr:rowOff>
              </from>
              <to>
                <xdr:col>11</xdr:col>
                <xdr:colOff>0</xdr:colOff>
                <xdr:row>59</xdr:row>
                <xdr:rowOff>0</xdr:rowOff>
              </to>
            </anchor>
          </objectPr>
        </oleObject>
      </mc:Choice>
      <mc:Fallback>
        <oleObject progId="Word.Picture.8" shapeId="5123" r:id="rId7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20" zoomScaleNormal="120" zoomScaleSheetLayoutView="110" workbookViewId="0">
      <selection sqref="A1:K1"/>
    </sheetView>
  </sheetViews>
  <sheetFormatPr defaultColWidth="9.81640625" defaultRowHeight="10.5"/>
  <cols>
    <col min="1" max="1" width="25.7265625" style="295" customWidth="1"/>
    <col min="2" max="2" width="1.7265625" style="270" customWidth="1"/>
    <col min="3" max="4" width="10.7265625" style="322" customWidth="1"/>
    <col min="5" max="5" width="14.7265625" style="322" hidden="1" customWidth="1"/>
    <col min="6" max="6" width="1.7265625" style="321" customWidth="1"/>
    <col min="7" max="8" width="10.7265625" style="322" customWidth="1"/>
    <col min="9" max="9" width="1.7265625" style="321" customWidth="1"/>
    <col min="10" max="11" width="10.7265625" style="322" customWidth="1"/>
    <col min="12" max="12" width="11.26953125" style="270" customWidth="1"/>
    <col min="13" max="13" width="13.7265625" style="265" customWidth="1"/>
    <col min="14" max="14" width="17.453125" style="270" customWidth="1"/>
    <col min="15" max="15" width="18" style="270" customWidth="1"/>
    <col min="16" max="16" width="13.1796875" style="270" customWidth="1"/>
    <col min="17" max="18" width="11.26953125" style="270" customWidth="1"/>
    <col min="19" max="19" width="19" style="270" customWidth="1"/>
    <col min="20" max="20" width="13.54296875" style="265" customWidth="1"/>
    <col min="21" max="16384" width="9.81640625" style="265"/>
  </cols>
  <sheetData>
    <row r="1" spans="1:22" ht="11.15" customHeight="1">
      <c r="A1" s="994" t="s">
        <v>0</v>
      </c>
      <c r="B1" s="994"/>
      <c r="C1" s="994"/>
      <c r="D1" s="994"/>
      <c r="E1" s="994"/>
      <c r="F1" s="994"/>
      <c r="G1" s="994"/>
      <c r="H1" s="994"/>
      <c r="I1" s="994"/>
      <c r="J1" s="994"/>
      <c r="K1" s="994"/>
      <c r="L1" s="262"/>
      <c r="M1" s="263"/>
      <c r="N1" s="263"/>
      <c r="O1" s="263"/>
      <c r="P1" s="263"/>
      <c r="Q1" s="263"/>
      <c r="R1" s="264"/>
      <c r="S1" s="265"/>
      <c r="T1" s="266"/>
      <c r="U1" s="266"/>
      <c r="V1" s="266"/>
    </row>
    <row r="2" spans="1:22" ht="11.15" customHeight="1">
      <c r="A2" s="995" t="s">
        <v>84</v>
      </c>
      <c r="B2" s="995"/>
      <c r="C2" s="995"/>
      <c r="D2" s="995"/>
      <c r="E2" s="995"/>
      <c r="F2" s="995"/>
      <c r="G2" s="995"/>
      <c r="H2" s="995"/>
      <c r="I2" s="995"/>
      <c r="J2" s="995"/>
      <c r="K2" s="995"/>
      <c r="L2" s="267"/>
      <c r="M2" s="268"/>
      <c r="N2" s="268"/>
      <c r="O2" s="268"/>
      <c r="P2" s="268"/>
      <c r="Q2" s="268"/>
      <c r="R2" s="262"/>
      <c r="S2" s="263"/>
      <c r="T2" s="269"/>
      <c r="U2" s="269"/>
      <c r="V2" s="269"/>
    </row>
    <row r="3" spans="1:22" ht="11.15" customHeight="1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275"/>
      <c r="M3" s="267"/>
    </row>
    <row r="4" spans="1:22" ht="15" customHeight="1">
      <c r="A4" s="271"/>
      <c r="B4" s="271"/>
      <c r="C4" s="996" t="s">
        <v>85</v>
      </c>
      <c r="D4" s="996"/>
      <c r="E4" s="996"/>
      <c r="F4" s="275"/>
      <c r="G4" s="996" t="s">
        <v>229</v>
      </c>
      <c r="H4" s="996"/>
      <c r="I4" s="996"/>
      <c r="J4" s="996"/>
      <c r="K4" s="996"/>
    </row>
    <row r="5" spans="1:22" ht="15" customHeight="1">
      <c r="A5" s="275"/>
      <c r="B5" s="297"/>
      <c r="C5" s="870" t="s">
        <v>239</v>
      </c>
      <c r="D5" s="870" t="s">
        <v>240</v>
      </c>
      <c r="F5" s="298"/>
      <c r="G5" s="998">
        <v>42903</v>
      </c>
      <c r="H5" s="997"/>
      <c r="I5" s="298"/>
      <c r="J5" s="997" t="s">
        <v>169</v>
      </c>
      <c r="K5" s="997"/>
    </row>
    <row r="6" spans="1:22" s="282" customFormat="1" ht="15" customHeight="1">
      <c r="A6" s="280"/>
      <c r="B6" s="471"/>
      <c r="E6" s="301"/>
      <c r="F6" s="302"/>
      <c r="G6" s="299" t="s">
        <v>86</v>
      </c>
      <c r="H6" s="299" t="s">
        <v>87</v>
      </c>
      <c r="I6" s="300"/>
      <c r="J6" s="299" t="s">
        <v>86</v>
      </c>
      <c r="K6" s="299" t="s">
        <v>87</v>
      </c>
      <c r="L6" s="280"/>
      <c r="M6" s="281"/>
      <c r="N6" s="280"/>
      <c r="O6" s="280"/>
      <c r="P6" s="280"/>
      <c r="Q6" s="280"/>
      <c r="R6" s="280"/>
      <c r="S6" s="280"/>
    </row>
    <row r="7" spans="1:22" ht="13" customHeight="1">
      <c r="A7" s="289" t="s">
        <v>29</v>
      </c>
      <c r="B7" s="472"/>
      <c r="C7" s="303">
        <v>-2.7701448232806403E-3</v>
      </c>
      <c r="D7" s="303">
        <v>6.3029861786355834E-2</v>
      </c>
      <c r="E7" s="304">
        <v>2.2990445783960256E-2</v>
      </c>
      <c r="F7" s="305"/>
      <c r="G7" s="306">
        <v>17.897300000000001</v>
      </c>
      <c r="H7" s="307">
        <v>1</v>
      </c>
      <c r="I7" s="308"/>
      <c r="J7" s="306">
        <v>20.664000000000001</v>
      </c>
      <c r="K7" s="307">
        <v>1</v>
      </c>
      <c r="M7" s="267"/>
    </row>
    <row r="8" spans="1:22" ht="13" customHeight="1">
      <c r="A8" s="290" t="s">
        <v>30</v>
      </c>
      <c r="B8" s="472"/>
      <c r="C8" s="309">
        <v>3.8753200166903312E-3</v>
      </c>
      <c r="D8" s="309">
        <v>4.0710471128352577E-2</v>
      </c>
      <c r="E8" s="309">
        <v>9.7781465084885166E-3</v>
      </c>
      <c r="F8" s="305"/>
      <c r="G8" s="310">
        <v>3038.26</v>
      </c>
      <c r="H8" s="311">
        <v>5.8906413539328434E-3</v>
      </c>
      <c r="I8" s="308"/>
      <c r="J8" s="312">
        <v>3000.71</v>
      </c>
      <c r="K8" s="311">
        <v>6.8863702257132486E-3</v>
      </c>
      <c r="M8" s="267"/>
    </row>
    <row r="9" spans="1:22" ht="13" customHeight="1">
      <c r="A9" s="289" t="s">
        <v>31</v>
      </c>
      <c r="B9" s="472"/>
      <c r="C9" s="303">
        <v>0.70693728824696733</v>
      </c>
      <c r="D9" s="303">
        <v>6.3911182256188637</v>
      </c>
      <c r="E9" s="304">
        <v>0.44760722163348077</v>
      </c>
      <c r="F9" s="305"/>
      <c r="G9" s="306">
        <v>2640</v>
      </c>
      <c r="H9" s="307">
        <v>6.7792803030303035E-3</v>
      </c>
      <c r="I9" s="308"/>
      <c r="J9" s="313">
        <v>673.76170000000002</v>
      </c>
      <c r="K9" s="307">
        <v>3.0669597277494402E-2</v>
      </c>
      <c r="M9" s="267"/>
    </row>
    <row r="10" spans="1:22" ht="13" customHeight="1">
      <c r="A10" s="290" t="s">
        <v>32</v>
      </c>
      <c r="B10" s="472"/>
      <c r="C10" s="309">
        <v>6.8140287106115416E-3</v>
      </c>
      <c r="D10" s="309">
        <v>3.1142430901410112E-2</v>
      </c>
      <c r="E10" s="309"/>
      <c r="F10" s="305"/>
      <c r="G10" s="310">
        <v>3.3081999999999998</v>
      </c>
      <c r="H10" s="311">
        <v>5.4099812586905269</v>
      </c>
      <c r="I10" s="308"/>
      <c r="J10" s="312">
        <v>3.2591000000000001</v>
      </c>
      <c r="K10" s="311">
        <v>6.340400724126293</v>
      </c>
      <c r="M10" s="267"/>
    </row>
    <row r="11" spans="1:22" ht="13" customHeight="1">
      <c r="A11" s="291" t="s">
        <v>33</v>
      </c>
      <c r="B11" s="473"/>
      <c r="C11" s="303">
        <v>5.1826083626800301E-2</v>
      </c>
      <c r="D11" s="303">
        <v>0.20901610295004502</v>
      </c>
      <c r="E11" s="304"/>
      <c r="F11" s="305"/>
      <c r="G11" s="306">
        <v>16.63</v>
      </c>
      <c r="H11" s="307">
        <v>1.076205652435358</v>
      </c>
      <c r="I11" s="308"/>
      <c r="J11" s="313">
        <v>15.89</v>
      </c>
      <c r="K11" s="307">
        <v>1.3004405286343612</v>
      </c>
      <c r="M11" s="267"/>
    </row>
    <row r="12" spans="1:22" ht="13" customHeight="1">
      <c r="A12" s="292" t="s">
        <v>143</v>
      </c>
      <c r="B12" s="473"/>
      <c r="C12" s="309">
        <v>6.3634793388847033E-3</v>
      </c>
      <c r="D12" s="309">
        <v>2.4533131327746593E-2</v>
      </c>
      <c r="E12" s="309"/>
      <c r="F12" s="305"/>
      <c r="G12" s="310">
        <v>663.21</v>
      </c>
      <c r="H12" s="311">
        <v>2.6985871744997815E-2</v>
      </c>
      <c r="I12" s="308"/>
      <c r="J12" s="312">
        <v>667.29</v>
      </c>
      <c r="K12" s="311">
        <v>3.0967045812165628E-2</v>
      </c>
      <c r="M12" s="267"/>
    </row>
    <row r="13" spans="1:22" ht="13" customHeight="1">
      <c r="A13" s="291" t="s">
        <v>176</v>
      </c>
      <c r="B13" s="473"/>
      <c r="C13" s="303">
        <v>-3.1004392832294503E-3</v>
      </c>
      <c r="D13" s="303">
        <v>2.4793037206042756E-2</v>
      </c>
      <c r="E13" s="314"/>
      <c r="F13" s="315"/>
      <c r="G13" s="306">
        <v>50.466000000000001</v>
      </c>
      <c r="H13" s="307">
        <v>0.35464074822652875</v>
      </c>
      <c r="I13" s="308"/>
      <c r="J13" s="313">
        <v>49.813000000000002</v>
      </c>
      <c r="K13" s="307">
        <v>0.41483146969666551</v>
      </c>
      <c r="M13" s="267"/>
    </row>
    <row r="14" spans="1:22" ht="13" customHeight="1" thickBot="1">
      <c r="A14" s="293" t="s">
        <v>88</v>
      </c>
      <c r="B14" s="474"/>
      <c r="C14" s="316">
        <v>5.7172052486813563E-3</v>
      </c>
      <c r="D14" s="316">
        <v>9.1076865406956031E-3</v>
      </c>
      <c r="E14" s="316"/>
      <c r="F14" s="317"/>
      <c r="G14" s="318">
        <v>0.87038117999999998</v>
      </c>
      <c r="H14" s="319">
        <v>20.562599940407722</v>
      </c>
      <c r="I14" s="320"/>
      <c r="J14" s="318">
        <v>0.94901740999999995</v>
      </c>
      <c r="K14" s="319">
        <v>21.77410001361303</v>
      </c>
      <c r="M14" s="267"/>
    </row>
    <row r="15" spans="1:22" ht="11.15" customHeight="1">
      <c r="A15" s="278"/>
      <c r="B15" s="278"/>
      <c r="C15" s="283"/>
      <c r="D15" s="283"/>
      <c r="E15" s="284"/>
      <c r="F15" s="287"/>
      <c r="G15" s="285"/>
      <c r="H15" s="286"/>
      <c r="I15" s="288"/>
      <c r="J15" s="285"/>
      <c r="K15" s="286"/>
      <c r="M15" s="267"/>
    </row>
    <row r="16" spans="1:22" ht="11.15" customHeight="1">
      <c r="A16" s="278"/>
      <c r="B16" s="278"/>
      <c r="C16" s="283"/>
      <c r="D16" s="283"/>
      <c r="E16" s="284"/>
      <c r="F16" s="287"/>
      <c r="G16" s="285"/>
      <c r="H16" s="286"/>
      <c r="I16" s="288"/>
      <c r="J16" s="285"/>
      <c r="K16" s="286"/>
      <c r="M16" s="267"/>
    </row>
    <row r="17" spans="1:20" ht="11.15" customHeight="1">
      <c r="A17" s="993" t="s">
        <v>177</v>
      </c>
      <c r="B17" s="993"/>
      <c r="C17" s="993"/>
      <c r="D17" s="993"/>
      <c r="E17" s="993"/>
      <c r="F17" s="993"/>
      <c r="G17" s="993"/>
      <c r="H17" s="993"/>
      <c r="I17" s="993"/>
      <c r="J17" s="993"/>
      <c r="K17" s="993"/>
    </row>
    <row r="18" spans="1:20" ht="11.15" customHeight="1">
      <c r="A18" s="294"/>
      <c r="B18" s="273"/>
    </row>
    <row r="19" spans="1:20" ht="11.15" customHeight="1"/>
    <row r="20" spans="1:20" ht="11.15" customHeight="1"/>
    <row r="21" spans="1:20" ht="11.15" customHeight="1"/>
    <row r="22" spans="1:20" ht="11.15" customHeight="1"/>
    <row r="23" spans="1:20" ht="11.15" customHeight="1">
      <c r="T23" s="267"/>
    </row>
    <row r="24" spans="1:20" ht="11.15" customHeight="1">
      <c r="T24" s="267"/>
    </row>
    <row r="25" spans="1:20" ht="11.15" customHeight="1">
      <c r="T25" s="267"/>
    </row>
    <row r="26" spans="1:20" ht="11.15" customHeight="1"/>
    <row r="27" spans="1:20">
      <c r="A27" s="296"/>
      <c r="B27" s="274"/>
      <c r="C27" s="323"/>
    </row>
    <row r="29" spans="1:20">
      <c r="E29" s="321"/>
    </row>
    <row r="30" spans="1:20">
      <c r="A30" s="296"/>
      <c r="B30" s="274"/>
      <c r="C30" s="323"/>
    </row>
    <row r="31" spans="1:20">
      <c r="A31" s="296"/>
      <c r="B31" s="274"/>
      <c r="C31" s="323"/>
      <c r="M31" s="267"/>
    </row>
    <row r="32" spans="1:20">
      <c r="A32" s="296"/>
      <c r="B32" s="274"/>
      <c r="C32" s="323"/>
      <c r="M32" s="267"/>
    </row>
    <row r="33" spans="1:19">
      <c r="A33" s="296"/>
      <c r="B33" s="274"/>
      <c r="C33" s="323"/>
      <c r="M33" s="267"/>
    </row>
    <row r="34" spans="1:19">
      <c r="G34" s="324"/>
      <c r="M34" s="267"/>
      <c r="N34" s="276"/>
      <c r="P34" s="277"/>
      <c r="Q34" s="277"/>
      <c r="R34" s="277"/>
    </row>
    <row r="35" spans="1:19">
      <c r="L35" s="267"/>
      <c r="M35" s="267"/>
      <c r="N35" s="272"/>
      <c r="P35" s="277"/>
      <c r="Q35" s="277"/>
      <c r="R35" s="277"/>
    </row>
    <row r="36" spans="1:19">
      <c r="L36" s="267"/>
      <c r="M36" s="267"/>
      <c r="N36" s="264"/>
      <c r="S36" s="277"/>
    </row>
    <row r="37" spans="1:19">
      <c r="M37" s="267"/>
    </row>
    <row r="38" spans="1:19">
      <c r="G38" s="324"/>
      <c r="M38" s="267"/>
    </row>
    <row r="39" spans="1:19">
      <c r="M39" s="267"/>
      <c r="N39" s="265"/>
      <c r="O39" s="265"/>
      <c r="P39" s="265"/>
      <c r="Q39" s="265"/>
      <c r="R39" s="265"/>
    </row>
    <row r="40" spans="1:19">
      <c r="M40" s="267"/>
      <c r="N40" s="265"/>
      <c r="O40" s="265"/>
      <c r="P40" s="265"/>
      <c r="Q40" s="265"/>
      <c r="R40" s="265"/>
      <c r="S40" s="267"/>
    </row>
    <row r="41" spans="1:19">
      <c r="M41" s="267"/>
      <c r="N41" s="267"/>
      <c r="O41" s="267"/>
      <c r="P41" s="267"/>
      <c r="Q41" s="267"/>
      <c r="R41" s="267"/>
      <c r="S41" s="267"/>
    </row>
    <row r="42" spans="1:19">
      <c r="M42" s="267"/>
      <c r="N42" s="278"/>
      <c r="O42" s="278"/>
      <c r="P42" s="278"/>
      <c r="Q42" s="278"/>
      <c r="R42" s="278"/>
      <c r="S42" s="267"/>
    </row>
    <row r="43" spans="1:19">
      <c r="M43" s="267"/>
      <c r="N43" s="278"/>
      <c r="O43" s="278"/>
      <c r="P43" s="278"/>
      <c r="Q43" s="278"/>
      <c r="R43" s="278"/>
      <c r="S43" s="278"/>
    </row>
    <row r="44" spans="1:19">
      <c r="N44" s="279"/>
      <c r="O44" s="278"/>
      <c r="P44" s="278"/>
      <c r="Q44" s="278"/>
      <c r="R44" s="278"/>
      <c r="S44" s="278"/>
    </row>
    <row r="45" spans="1:19">
      <c r="N45" s="278"/>
      <c r="O45" s="278"/>
      <c r="P45" s="278"/>
      <c r="Q45" s="278"/>
      <c r="R45" s="278"/>
      <c r="S45" s="278"/>
    </row>
    <row r="46" spans="1:19">
      <c r="N46" s="267"/>
      <c r="O46" s="267"/>
      <c r="P46" s="267"/>
      <c r="Q46" s="267"/>
      <c r="R46" s="267"/>
      <c r="S46" s="278"/>
    </row>
    <row r="47" spans="1:19">
      <c r="A47" s="296"/>
      <c r="B47" s="274"/>
      <c r="C47" s="323"/>
      <c r="M47" s="267"/>
      <c r="N47" s="267"/>
      <c r="O47" s="267"/>
      <c r="P47" s="267"/>
      <c r="Q47" s="267"/>
      <c r="R47" s="267"/>
      <c r="S47" s="267"/>
    </row>
    <row r="48" spans="1:19">
      <c r="A48" s="296"/>
      <c r="B48" s="274"/>
      <c r="C48" s="323"/>
      <c r="N48" s="278"/>
      <c r="O48" s="278"/>
      <c r="P48" s="278"/>
      <c r="Q48" s="278"/>
      <c r="R48" s="278"/>
      <c r="S48" s="267"/>
    </row>
    <row r="49" spans="1:19">
      <c r="A49" s="296"/>
      <c r="B49" s="274"/>
      <c r="C49" s="323"/>
      <c r="S49" s="278"/>
    </row>
  </sheetData>
  <mergeCells count="7">
    <mergeCell ref="A17:K17"/>
    <mergeCell ref="A1:K1"/>
    <mergeCell ref="A2:K2"/>
    <mergeCell ref="G4:K4"/>
    <mergeCell ref="C4:E4"/>
    <mergeCell ref="J5:K5"/>
    <mergeCell ref="G5:H5"/>
  </mergeCells>
  <pageMargins left="0.19685039370078741" right="0.31496062992125984" top="0.78740157480314965" bottom="0.23622047244094491" header="0" footer="0"/>
  <pageSetup orientation="portrait" r:id="rId1"/>
  <headerFooter alignWithMargins="0"/>
  <colBreaks count="1" manualBreakCount="1">
    <brk id="18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view="pageBreakPreview" topLeftCell="A6" zoomScale="60" workbookViewId="0">
      <pane xSplit="3" ySplit="23" topLeftCell="D29" activePane="bottomRight" state="frozen"/>
      <selection activeCell="A6" sqref="A6"/>
      <selection pane="topRight" activeCell="D6" sqref="D6"/>
      <selection pane="bottomLeft" activeCell="A29" sqref="A29"/>
      <selection pane="bottomRight" activeCell="M40" sqref="M40"/>
    </sheetView>
  </sheetViews>
  <sheetFormatPr defaultColWidth="9.81640625" defaultRowHeight="15.5" outlineLevelRow="1"/>
  <cols>
    <col min="1" max="1" width="57.7265625" style="2" bestFit="1" customWidth="1"/>
    <col min="2" max="2" width="1.54296875" style="6" customWidth="1"/>
    <col min="3" max="3" width="1.7265625" style="6" customWidth="1"/>
    <col min="4" max="4" width="13.26953125" style="6" bestFit="1" customWidth="1"/>
    <col min="5" max="5" width="13.26953125" style="2" bestFit="1" customWidth="1"/>
    <col min="6" max="6" width="12.54296875" style="6" bestFit="1" customWidth="1"/>
    <col min="7" max="7" width="6.1796875" style="2" customWidth="1"/>
    <col min="8" max="9" width="16.54296875" style="2" customWidth="1"/>
    <col min="10" max="10" width="16.54296875" style="2" hidden="1" customWidth="1"/>
    <col min="11" max="14" width="16.54296875" style="2" customWidth="1"/>
    <col min="15" max="15" width="5.1796875" style="2" customWidth="1"/>
    <col min="16" max="16" width="17.81640625" style="2" bestFit="1" customWidth="1"/>
    <col min="17" max="17" width="15.26953125" style="2" bestFit="1" customWidth="1"/>
    <col min="18" max="18" width="11.81640625" style="2" hidden="1" customWidth="1"/>
    <col min="19" max="21" width="14" style="2" bestFit="1" customWidth="1"/>
    <col min="22" max="22" width="11.81640625" style="2" customWidth="1"/>
    <col min="23" max="16384" width="9.81640625" style="2"/>
  </cols>
  <sheetData>
    <row r="1" spans="1:22" ht="15" customHeight="1">
      <c r="A1" s="973" t="s">
        <v>0</v>
      </c>
      <c r="B1" s="973"/>
      <c r="C1" s="973"/>
      <c r="D1" s="973"/>
      <c r="E1" s="973"/>
      <c r="F1" s="973"/>
      <c r="G1" s="973"/>
      <c r="H1" s="973"/>
      <c r="I1" s="973"/>
      <c r="J1" s="973"/>
      <c r="K1" s="973"/>
      <c r="L1" s="973"/>
      <c r="M1" s="973"/>
      <c r="N1" s="973"/>
      <c r="O1" s="973"/>
      <c r="P1" s="973"/>
      <c r="Q1" s="973"/>
      <c r="R1" s="973"/>
      <c r="S1" s="973"/>
      <c r="T1" s="973"/>
      <c r="U1" s="973"/>
      <c r="V1" s="973"/>
    </row>
    <row r="2" spans="1:22" ht="15" customHeight="1">
      <c r="A2" s="974" t="s">
        <v>1</v>
      </c>
      <c r="B2" s="974"/>
      <c r="C2" s="974"/>
      <c r="D2" s="974"/>
      <c r="E2" s="974"/>
      <c r="F2" s="974"/>
      <c r="G2" s="974"/>
      <c r="H2" s="974"/>
      <c r="I2" s="974"/>
      <c r="J2" s="974"/>
      <c r="K2" s="974"/>
      <c r="L2" s="974"/>
      <c r="M2" s="974"/>
      <c r="N2" s="974"/>
      <c r="O2" s="974"/>
      <c r="P2" s="974"/>
      <c r="Q2" s="974"/>
      <c r="R2" s="974"/>
      <c r="S2" s="974"/>
      <c r="T2" s="974"/>
      <c r="U2" s="974"/>
      <c r="V2" s="974"/>
    </row>
    <row r="3" spans="1:22">
      <c r="A3" s="1000" t="s">
        <v>91</v>
      </c>
      <c r="B3" s="1000"/>
      <c r="C3" s="1000"/>
      <c r="D3" s="1000"/>
      <c r="E3" s="1000"/>
      <c r="F3" s="1000"/>
      <c r="G3" s="1000"/>
      <c r="H3" s="1000"/>
      <c r="I3" s="1000"/>
      <c r="J3" s="1000"/>
      <c r="K3" s="1000"/>
      <c r="L3" s="1000"/>
      <c r="M3" s="1000"/>
      <c r="N3" s="1000"/>
      <c r="O3" s="1000"/>
      <c r="P3" s="1000"/>
      <c r="Q3" s="1000"/>
      <c r="R3" s="1000"/>
      <c r="S3" s="1000"/>
      <c r="T3" s="1000"/>
      <c r="U3" s="1000"/>
      <c r="V3" s="1000"/>
    </row>
    <row r="4" spans="1:22">
      <c r="A4" s="977" t="s">
        <v>2</v>
      </c>
      <c r="B4" s="977"/>
      <c r="C4" s="977"/>
      <c r="D4" s="977"/>
      <c r="E4" s="977"/>
      <c r="F4" s="977"/>
      <c r="G4" s="977"/>
      <c r="H4" s="977"/>
      <c r="I4" s="977"/>
      <c r="J4" s="977"/>
      <c r="K4" s="977"/>
      <c r="L4" s="977"/>
      <c r="M4" s="977"/>
      <c r="N4" s="977"/>
      <c r="O4" s="977"/>
      <c r="P4" s="977"/>
      <c r="Q4" s="977"/>
      <c r="R4" s="977"/>
      <c r="S4" s="977"/>
      <c r="T4" s="977"/>
      <c r="U4" s="977"/>
      <c r="V4" s="977"/>
    </row>
    <row r="5" spans="1:22" s="189" customFormat="1" ht="18" customHeight="1">
      <c r="A5" s="15"/>
      <c r="B5" s="187"/>
      <c r="C5" s="188"/>
      <c r="D5" s="4"/>
      <c r="E5" s="83"/>
      <c r="F5" s="83"/>
      <c r="G5" s="83" t="s">
        <v>23</v>
      </c>
      <c r="H5" s="5"/>
      <c r="I5" s="83"/>
      <c r="J5" s="83"/>
      <c r="K5" s="83"/>
      <c r="L5" s="83"/>
      <c r="M5" s="83"/>
      <c r="N5" s="5"/>
      <c r="O5" s="5"/>
      <c r="P5" s="5"/>
      <c r="Q5" s="5"/>
      <c r="R5" s="5"/>
      <c r="S5" s="5"/>
      <c r="T5" s="5"/>
      <c r="U5" s="5"/>
      <c r="V5" s="5"/>
    </row>
    <row r="6" spans="1:22">
      <c r="A6" s="7"/>
      <c r="B6" s="8"/>
      <c r="C6" s="8"/>
      <c r="D6" s="190"/>
      <c r="E6" s="7"/>
      <c r="F6" s="8"/>
      <c r="G6" s="7"/>
    </row>
    <row r="7" spans="1:22" hidden="1">
      <c r="B7" s="11"/>
      <c r="C7" s="4"/>
      <c r="D7" s="988" t="s">
        <v>92</v>
      </c>
      <c r="E7" s="1001"/>
      <c r="F7" s="1001"/>
      <c r="G7" s="173"/>
      <c r="H7" s="999" t="s">
        <v>93</v>
      </c>
      <c r="I7" s="999"/>
      <c r="J7" s="999"/>
      <c r="K7" s="999"/>
      <c r="L7" s="999"/>
      <c r="M7" s="999"/>
      <c r="N7" s="999"/>
      <c r="P7" s="999" t="s">
        <v>94</v>
      </c>
      <c r="Q7" s="999"/>
      <c r="R7" s="999"/>
      <c r="S7" s="999"/>
      <c r="T7" s="999"/>
      <c r="U7" s="999"/>
      <c r="V7" s="999"/>
    </row>
    <row r="8" spans="1:22" hidden="1">
      <c r="B8" s="11"/>
      <c r="C8" s="4"/>
      <c r="D8" s="186"/>
      <c r="E8" s="191"/>
      <c r="F8" s="191"/>
      <c r="G8" s="173"/>
      <c r="H8" s="192" t="s">
        <v>0</v>
      </c>
      <c r="I8" s="192" t="s">
        <v>95</v>
      </c>
      <c r="J8" s="192" t="s">
        <v>0</v>
      </c>
      <c r="K8" s="192" t="s">
        <v>0</v>
      </c>
      <c r="L8" s="192"/>
      <c r="M8" s="192"/>
      <c r="N8" s="192" t="s">
        <v>96</v>
      </c>
      <c r="P8" s="192" t="s">
        <v>0</v>
      </c>
      <c r="Q8" s="192" t="s">
        <v>95</v>
      </c>
      <c r="R8" s="192" t="s">
        <v>0</v>
      </c>
      <c r="S8" s="192" t="s">
        <v>0</v>
      </c>
      <c r="T8" s="192" t="s">
        <v>0</v>
      </c>
      <c r="U8" s="192" t="s">
        <v>0</v>
      </c>
      <c r="V8" s="192" t="s">
        <v>96</v>
      </c>
    </row>
    <row r="9" spans="1:22" ht="18" hidden="1" customHeight="1" thickBot="1">
      <c r="A9" s="14"/>
      <c r="B9" s="15"/>
      <c r="C9" s="18"/>
      <c r="D9" s="193">
        <v>2007</v>
      </c>
      <c r="E9" s="193">
        <v>2006</v>
      </c>
      <c r="F9" s="193" t="s">
        <v>81</v>
      </c>
      <c r="G9" s="173"/>
      <c r="H9" s="194" t="s">
        <v>97</v>
      </c>
      <c r="I9" s="194" t="s">
        <v>0</v>
      </c>
      <c r="J9" s="194" t="s">
        <v>98</v>
      </c>
      <c r="K9" s="194" t="s">
        <v>99</v>
      </c>
      <c r="L9" s="194"/>
      <c r="M9" s="194"/>
      <c r="N9" s="194" t="s">
        <v>0</v>
      </c>
      <c r="P9" s="194" t="s">
        <v>97</v>
      </c>
      <c r="Q9" s="194" t="s">
        <v>0</v>
      </c>
      <c r="R9" s="194" t="s">
        <v>98</v>
      </c>
      <c r="S9" s="194" t="s">
        <v>99</v>
      </c>
      <c r="T9" s="194" t="s">
        <v>99</v>
      </c>
      <c r="U9" s="194" t="s">
        <v>99</v>
      </c>
      <c r="V9" s="194" t="s">
        <v>0</v>
      </c>
    </row>
    <row r="10" spans="1:22" hidden="1">
      <c r="A10" s="21"/>
      <c r="B10" s="21"/>
      <c r="C10" s="24"/>
      <c r="D10" s="22"/>
      <c r="E10" s="22"/>
      <c r="F10" s="24"/>
      <c r="G10" s="4"/>
      <c r="H10" s="26"/>
      <c r="I10" s="26"/>
      <c r="J10" s="26"/>
      <c r="K10" s="26"/>
      <c r="L10" s="26"/>
      <c r="M10" s="26"/>
      <c r="N10" s="26"/>
      <c r="P10" s="54"/>
      <c r="Q10" s="54"/>
      <c r="R10" s="54"/>
      <c r="S10" s="54"/>
      <c r="T10" s="54"/>
      <c r="U10" s="54"/>
      <c r="V10" s="54"/>
    </row>
    <row r="11" spans="1:22" hidden="1">
      <c r="A11" s="27"/>
      <c r="B11" s="21"/>
      <c r="C11" s="24"/>
      <c r="D11" s="28"/>
      <c r="E11" s="28"/>
      <c r="F11" s="195"/>
      <c r="G11" s="173"/>
      <c r="H11" s="196"/>
      <c r="I11" s="196"/>
      <c r="J11" s="196"/>
      <c r="K11" s="196"/>
      <c r="L11" s="196"/>
      <c r="M11" s="196"/>
      <c r="N11" s="196"/>
      <c r="O11" s="20"/>
      <c r="P11" s="197"/>
      <c r="Q11" s="197"/>
      <c r="R11" s="197"/>
      <c r="S11" s="197"/>
      <c r="T11" s="197"/>
      <c r="U11" s="197"/>
      <c r="V11" s="197"/>
    </row>
    <row r="12" spans="1:22" hidden="1">
      <c r="A12" s="25" t="s">
        <v>5</v>
      </c>
      <c r="B12" s="25"/>
      <c r="C12" s="24"/>
      <c r="D12" s="52" t="e">
        <f>#REF!</f>
        <v>#REF!</v>
      </c>
      <c r="E12" s="52" t="e">
        <f>#REF!</f>
        <v>#REF!</v>
      </c>
      <c r="F12" s="24" t="e">
        <f t="shared" ref="F12:F17" si="0">+ROUND(((+D12/E12)-1)*100,1)</f>
        <v>#REF!</v>
      </c>
      <c r="G12" s="23"/>
      <c r="H12" s="26" t="e">
        <f t="shared" ref="H12:H17" si="1">+D12-E12</f>
        <v>#REF!</v>
      </c>
      <c r="I12" s="26">
        <v>8196</v>
      </c>
      <c r="J12" s="26" t="e">
        <f>#REF!-#REF!</f>
        <v>#REF!</v>
      </c>
      <c r="K12" s="26">
        <v>2838</v>
      </c>
      <c r="L12" s="26"/>
      <c r="M12" s="26"/>
      <c r="N12" s="26" t="e">
        <f t="shared" ref="N12:N17" si="2">+H12-I12-J12-K12</f>
        <v>#REF!</v>
      </c>
      <c r="O12" s="20"/>
      <c r="P12" s="54" t="e">
        <f t="shared" ref="P12:Q19" si="3">+ROUND(H12/$H12,3)</f>
        <v>#REF!</v>
      </c>
      <c r="Q12" s="54" t="e">
        <f>+ROUND(I12/$H12,3)</f>
        <v>#REF!</v>
      </c>
      <c r="R12" s="54" t="e">
        <f>+ROUND(J12/$H12,3)</f>
        <v>#REF!</v>
      </c>
      <c r="S12" s="54" t="e">
        <f t="shared" ref="S12:V17" si="4">+ROUND(K12/$H12,3)</f>
        <v>#REF!</v>
      </c>
      <c r="T12" s="54" t="e">
        <f t="shared" si="4"/>
        <v>#REF!</v>
      </c>
      <c r="U12" s="54" t="e">
        <f t="shared" si="4"/>
        <v>#REF!</v>
      </c>
      <c r="V12" s="54" t="e">
        <f t="shared" si="4"/>
        <v>#REF!</v>
      </c>
    </row>
    <row r="13" spans="1:22" hidden="1">
      <c r="A13" s="34" t="s">
        <v>6</v>
      </c>
      <c r="B13" s="25"/>
      <c r="C13" s="24"/>
      <c r="D13" s="52" t="e">
        <f>#REF!</f>
        <v>#REF!</v>
      </c>
      <c r="E13" s="52" t="e">
        <f>#REF!</f>
        <v>#REF!</v>
      </c>
      <c r="F13" s="195" t="e">
        <f t="shared" si="0"/>
        <v>#REF!</v>
      </c>
      <c r="G13" s="23"/>
      <c r="H13" s="26" t="e">
        <f t="shared" si="1"/>
        <v>#REF!</v>
      </c>
      <c r="I13" s="26">
        <v>4679</v>
      </c>
      <c r="J13" s="26" t="e">
        <f>#REF!-#REF!</f>
        <v>#REF!</v>
      </c>
      <c r="K13" s="26">
        <v>1657</v>
      </c>
      <c r="L13" s="26"/>
      <c r="M13" s="26"/>
      <c r="N13" s="26" t="e">
        <f t="shared" si="2"/>
        <v>#REF!</v>
      </c>
      <c r="P13" s="54" t="e">
        <f t="shared" si="3"/>
        <v>#REF!</v>
      </c>
      <c r="Q13" s="54" t="e">
        <f t="shared" si="3"/>
        <v>#REF!</v>
      </c>
      <c r="R13" s="54" t="e">
        <f t="shared" ref="R13:R19" si="5">+ROUND(J13/$H13,3)</f>
        <v>#REF!</v>
      </c>
      <c r="S13" s="54" t="e">
        <f t="shared" si="4"/>
        <v>#REF!</v>
      </c>
      <c r="T13" s="54" t="e">
        <f t="shared" si="4"/>
        <v>#REF!</v>
      </c>
      <c r="U13" s="54" t="e">
        <f t="shared" si="4"/>
        <v>#REF!</v>
      </c>
      <c r="V13" s="54" t="e">
        <f t="shared" si="4"/>
        <v>#REF!</v>
      </c>
    </row>
    <row r="14" spans="1:22" hidden="1">
      <c r="A14" s="34" t="s">
        <v>7</v>
      </c>
      <c r="B14" s="25"/>
      <c r="C14" s="24"/>
      <c r="D14" s="198" t="e">
        <f>+D12-D13</f>
        <v>#REF!</v>
      </c>
      <c r="E14" s="198" t="e">
        <f>+E12-E13</f>
        <v>#REF!</v>
      </c>
      <c r="F14" s="195" t="e">
        <f t="shared" si="0"/>
        <v>#REF!</v>
      </c>
      <c r="G14" s="38"/>
      <c r="H14" s="199" t="e">
        <f t="shared" si="1"/>
        <v>#REF!</v>
      </c>
      <c r="I14" s="199">
        <v>3517</v>
      </c>
      <c r="J14" s="199" t="e">
        <f>#REF!-#REF!</f>
        <v>#REF!</v>
      </c>
      <c r="K14" s="199">
        <v>1181</v>
      </c>
      <c r="L14" s="199"/>
      <c r="M14" s="199"/>
      <c r="N14" s="199" t="e">
        <f t="shared" si="2"/>
        <v>#REF!</v>
      </c>
      <c r="P14" s="200" t="e">
        <f t="shared" si="3"/>
        <v>#REF!</v>
      </c>
      <c r="Q14" s="200" t="e">
        <f t="shared" si="3"/>
        <v>#REF!</v>
      </c>
      <c r="R14" s="200" t="e">
        <f t="shared" si="5"/>
        <v>#REF!</v>
      </c>
      <c r="S14" s="200" t="e">
        <f t="shared" si="4"/>
        <v>#REF!</v>
      </c>
      <c r="T14" s="200" t="e">
        <f t="shared" si="4"/>
        <v>#REF!</v>
      </c>
      <c r="U14" s="200" t="e">
        <f t="shared" si="4"/>
        <v>#REF!</v>
      </c>
      <c r="V14" s="200" t="e">
        <f t="shared" si="4"/>
        <v>#REF!</v>
      </c>
    </row>
    <row r="15" spans="1:22" hidden="1">
      <c r="A15" s="21" t="s">
        <v>100</v>
      </c>
      <c r="B15" s="21"/>
      <c r="C15" s="24"/>
      <c r="D15" s="52" t="e">
        <f>#REF!</f>
        <v>#REF!</v>
      </c>
      <c r="E15" s="52" t="e">
        <f>#REF!</f>
        <v>#REF!</v>
      </c>
      <c r="F15" s="24" t="e">
        <f t="shared" si="0"/>
        <v>#REF!</v>
      </c>
      <c r="G15" s="23"/>
      <c r="H15" s="26" t="e">
        <f t="shared" si="1"/>
        <v>#REF!</v>
      </c>
      <c r="I15" s="26">
        <v>82</v>
      </c>
      <c r="J15" s="26" t="e">
        <f>#REF!-#REF!</f>
        <v>#REF!</v>
      </c>
      <c r="K15" s="26">
        <v>72</v>
      </c>
      <c r="L15" s="26"/>
      <c r="M15" s="26"/>
      <c r="N15" s="26" t="e">
        <f t="shared" si="2"/>
        <v>#REF!</v>
      </c>
      <c r="P15" s="54" t="e">
        <f t="shared" si="3"/>
        <v>#REF!</v>
      </c>
      <c r="Q15" s="54" t="e">
        <f t="shared" si="3"/>
        <v>#REF!</v>
      </c>
      <c r="R15" s="54" t="e">
        <f t="shared" si="5"/>
        <v>#REF!</v>
      </c>
      <c r="S15" s="54" t="e">
        <f t="shared" si="4"/>
        <v>#REF!</v>
      </c>
      <c r="T15" s="54" t="e">
        <f t="shared" si="4"/>
        <v>#REF!</v>
      </c>
      <c r="U15" s="54" t="e">
        <f t="shared" si="4"/>
        <v>#REF!</v>
      </c>
      <c r="V15" s="54" t="e">
        <f t="shared" si="4"/>
        <v>#REF!</v>
      </c>
    </row>
    <row r="16" spans="1:22" hidden="1">
      <c r="A16" s="27" t="s">
        <v>101</v>
      </c>
      <c r="B16" s="21"/>
      <c r="C16" s="24"/>
      <c r="D16" s="160" t="e">
        <f>#REF!</f>
        <v>#REF!</v>
      </c>
      <c r="E16" s="160" t="e">
        <f>#REF!</f>
        <v>#REF!</v>
      </c>
      <c r="F16" s="195" t="e">
        <f t="shared" si="0"/>
        <v>#REF!</v>
      </c>
      <c r="G16" s="38"/>
      <c r="H16" s="26" t="e">
        <f t="shared" si="1"/>
        <v>#REF!</v>
      </c>
      <c r="I16" s="26">
        <v>2018</v>
      </c>
      <c r="J16" s="26" t="e">
        <f>#REF!-#REF!</f>
        <v>#REF!</v>
      </c>
      <c r="K16" s="26">
        <v>798</v>
      </c>
      <c r="L16" s="26"/>
      <c r="M16" s="26"/>
      <c r="N16" s="26" t="e">
        <f t="shared" si="2"/>
        <v>#REF!</v>
      </c>
      <c r="P16" s="54" t="e">
        <f t="shared" si="3"/>
        <v>#REF!</v>
      </c>
      <c r="Q16" s="54" t="e">
        <f t="shared" si="3"/>
        <v>#REF!</v>
      </c>
      <c r="R16" s="54" t="e">
        <f t="shared" si="5"/>
        <v>#REF!</v>
      </c>
      <c r="S16" s="54" t="e">
        <f t="shared" si="4"/>
        <v>#REF!</v>
      </c>
      <c r="T16" s="54" t="e">
        <f t="shared" si="4"/>
        <v>#REF!</v>
      </c>
      <c r="U16" s="54" t="e">
        <f t="shared" si="4"/>
        <v>#REF!</v>
      </c>
      <c r="V16" s="54" t="e">
        <f t="shared" si="4"/>
        <v>#REF!</v>
      </c>
    </row>
    <row r="17" spans="1:22" hidden="1">
      <c r="A17" s="201" t="s">
        <v>102</v>
      </c>
      <c r="B17" s="25"/>
      <c r="C17" s="24"/>
      <c r="D17" s="198" t="e">
        <f>+D15+D16</f>
        <v>#REF!</v>
      </c>
      <c r="E17" s="198" t="e">
        <f>+E15+E16</f>
        <v>#REF!</v>
      </c>
      <c r="F17" s="202" t="e">
        <f t="shared" si="0"/>
        <v>#REF!</v>
      </c>
      <c r="G17" s="38"/>
      <c r="H17" s="199" t="e">
        <f t="shared" si="1"/>
        <v>#REF!</v>
      </c>
      <c r="I17" s="199">
        <v>2100</v>
      </c>
      <c r="J17" s="199" t="e">
        <f>#REF!-#REF!</f>
        <v>#REF!</v>
      </c>
      <c r="K17" s="199">
        <v>870</v>
      </c>
      <c r="L17" s="199"/>
      <c r="M17" s="199"/>
      <c r="N17" s="199" t="e">
        <f t="shared" si="2"/>
        <v>#REF!</v>
      </c>
      <c r="P17" s="200" t="e">
        <f t="shared" si="3"/>
        <v>#REF!</v>
      </c>
      <c r="Q17" s="200" t="e">
        <f t="shared" si="3"/>
        <v>#REF!</v>
      </c>
      <c r="R17" s="200" t="e">
        <f t="shared" si="5"/>
        <v>#REF!</v>
      </c>
      <c r="S17" s="200" t="e">
        <f t="shared" si="4"/>
        <v>#REF!</v>
      </c>
      <c r="T17" s="200" t="e">
        <f t="shared" si="4"/>
        <v>#REF!</v>
      </c>
      <c r="U17" s="200" t="e">
        <f t="shared" si="4"/>
        <v>#REF!</v>
      </c>
      <c r="V17" s="200" t="e">
        <f t="shared" si="4"/>
        <v>#REF!</v>
      </c>
    </row>
    <row r="18" spans="1:22" hidden="1">
      <c r="A18" s="82" t="s">
        <v>103</v>
      </c>
      <c r="D18" s="203" t="e">
        <f>D14-D17</f>
        <v>#REF!</v>
      </c>
      <c r="E18" s="203" t="e">
        <f>E14-E17</f>
        <v>#REF!</v>
      </c>
      <c r="F18" s="202" t="e">
        <f>+ROUND(((+D18/E18)-1)*100,1)</f>
        <v>#REF!</v>
      </c>
      <c r="H18" s="199" t="e">
        <f>H14-H17</f>
        <v>#REF!</v>
      </c>
      <c r="I18" s="199">
        <f>I14-I17</f>
        <v>1417</v>
      </c>
      <c r="J18" s="199" t="e">
        <f>J14-J17</f>
        <v>#REF!</v>
      </c>
      <c r="K18" s="199">
        <f>K14-K17</f>
        <v>311</v>
      </c>
      <c r="L18" s="199"/>
      <c r="M18" s="199"/>
      <c r="N18" s="199" t="e">
        <f>N14-N17</f>
        <v>#REF!</v>
      </c>
      <c r="P18" s="200" t="e">
        <f t="shared" si="3"/>
        <v>#REF!</v>
      </c>
      <c r="Q18" s="200" t="e">
        <f t="shared" si="3"/>
        <v>#REF!</v>
      </c>
      <c r="R18" s="200" t="e">
        <f t="shared" si="5"/>
        <v>#REF!</v>
      </c>
      <c r="S18" s="200" t="e">
        <f>+ROUND(K18/$H18,3)-0.001</f>
        <v>#REF!</v>
      </c>
      <c r="T18" s="200" t="e">
        <f>+ROUND(L18/$H18,3)-0.001</f>
        <v>#REF!</v>
      </c>
      <c r="U18" s="200" t="e">
        <f>+ROUND(M18/$H18,3)-0.001</f>
        <v>#REF!</v>
      </c>
      <c r="V18" s="200" t="e">
        <f>+ROUND(N18/$H18,3)</f>
        <v>#REF!</v>
      </c>
    </row>
    <row r="19" spans="1:22" hidden="1">
      <c r="A19" s="6" t="s">
        <v>17</v>
      </c>
      <c r="D19" s="52" t="e">
        <f>#REF!</f>
        <v>#REF!</v>
      </c>
      <c r="E19" s="52" t="e">
        <f>#REF!</f>
        <v>#REF!</v>
      </c>
      <c r="F19" s="24" t="e">
        <f>+ROUND(((+D19/E19)-1)*100,1)</f>
        <v>#REF!</v>
      </c>
      <c r="H19" s="26" t="e">
        <f>+D19-E19</f>
        <v>#REF!</v>
      </c>
      <c r="I19" s="26">
        <v>196</v>
      </c>
      <c r="J19" s="26" t="e">
        <f>#REF!-#REF!</f>
        <v>#REF!</v>
      </c>
      <c r="K19" s="26">
        <v>46</v>
      </c>
      <c r="L19" s="26"/>
      <c r="M19" s="26"/>
      <c r="N19" s="26" t="e">
        <f>+H19-I19-J19-K19</f>
        <v>#REF!</v>
      </c>
      <c r="P19" s="54" t="e">
        <f t="shared" si="3"/>
        <v>#REF!</v>
      </c>
      <c r="Q19" s="54" t="e">
        <f>+ROUND(I19/$H19,3)</f>
        <v>#REF!</v>
      </c>
      <c r="R19" s="54" t="e">
        <f t="shared" si="5"/>
        <v>#REF!</v>
      </c>
      <c r="S19" s="54" t="e">
        <f>+ROUND(K19/$H19,3)</f>
        <v>#REF!</v>
      </c>
      <c r="T19" s="54" t="e">
        <f>+ROUND(L19/$H19,3)</f>
        <v>#REF!</v>
      </c>
      <c r="U19" s="54" t="e">
        <f>+ROUND(M19/$H19,3)</f>
        <v>#REF!</v>
      </c>
      <c r="V19" s="54" t="e">
        <f>+ROUND(N19/$H19,3)</f>
        <v>#REF!</v>
      </c>
    </row>
    <row r="20" spans="1:22" hidden="1">
      <c r="A20" s="34" t="s">
        <v>104</v>
      </c>
      <c r="D20" s="160" t="e">
        <f>#REF!</f>
        <v>#REF!</v>
      </c>
      <c r="E20" s="160" t="e">
        <f>#REF!</f>
        <v>#REF!</v>
      </c>
      <c r="F20" s="195" t="e">
        <f>+ROUND(((+D20/E20)-1)*100,1)</f>
        <v>#REF!</v>
      </c>
      <c r="H20" s="26" t="e">
        <f>+D20-E20</f>
        <v>#REF!</v>
      </c>
      <c r="I20" s="26">
        <v>34</v>
      </c>
      <c r="J20" s="26" t="e">
        <f>#REF!-#REF!</f>
        <v>#REF!</v>
      </c>
      <c r="K20" s="26">
        <v>21</v>
      </c>
      <c r="L20" s="26"/>
      <c r="M20" s="26"/>
      <c r="N20" s="26" t="e">
        <f>+H20-I20-J20-K20</f>
        <v>#REF!</v>
      </c>
      <c r="P20" s="204" t="s">
        <v>105</v>
      </c>
      <c r="Q20" s="204" t="s">
        <v>105</v>
      </c>
      <c r="R20" s="204" t="s">
        <v>105</v>
      </c>
      <c r="S20" s="204" t="s">
        <v>105</v>
      </c>
      <c r="T20" s="204" t="s">
        <v>105</v>
      </c>
      <c r="U20" s="204" t="s">
        <v>105</v>
      </c>
      <c r="V20" s="204" t="s">
        <v>105</v>
      </c>
    </row>
    <row r="21" spans="1:22" s="6" customFormat="1" hidden="1">
      <c r="A21" s="74" t="s">
        <v>106</v>
      </c>
      <c r="D21" s="198" t="e">
        <f>D18+D19+D20</f>
        <v>#REF!</v>
      </c>
      <c r="E21" s="198" t="e">
        <f>E18+E19+E20</f>
        <v>#REF!</v>
      </c>
      <c r="F21" s="202" t="e">
        <f>+ROUND(((+D21/E21)-1)*100,1)</f>
        <v>#REF!</v>
      </c>
      <c r="H21" s="199" t="e">
        <f>+D21-E21</f>
        <v>#REF!</v>
      </c>
      <c r="I21" s="199">
        <f>I18+I19+I20</f>
        <v>1647</v>
      </c>
      <c r="J21" s="199" t="e">
        <f>J18+J19+J20</f>
        <v>#REF!</v>
      </c>
      <c r="K21" s="199">
        <f>K18+K19+K20</f>
        <v>378</v>
      </c>
      <c r="L21" s="199"/>
      <c r="M21" s="199"/>
      <c r="N21" s="199" t="e">
        <f>+H21-I21-J21-K21</f>
        <v>#REF!</v>
      </c>
      <c r="P21" s="200" t="e">
        <f>+ROUND(H21/$H21,3)</f>
        <v>#REF!</v>
      </c>
      <c r="Q21" s="200" t="e">
        <f>+ROUND(I21/$H21,3)</f>
        <v>#REF!</v>
      </c>
      <c r="R21" s="200" t="e">
        <f>+ROUND(J21/$H21,3)</f>
        <v>#REF!</v>
      </c>
      <c r="S21" s="200" t="e">
        <f t="shared" ref="S21:V21" si="6">+ROUND(K21/$H21,3)</f>
        <v>#REF!</v>
      </c>
      <c r="T21" s="200" t="e">
        <f t="shared" si="6"/>
        <v>#REF!</v>
      </c>
      <c r="U21" s="200" t="e">
        <f t="shared" si="6"/>
        <v>#REF!</v>
      </c>
      <c r="V21" s="200" t="e">
        <f t="shared" si="6"/>
        <v>#REF!</v>
      </c>
    </row>
    <row r="22" spans="1:22" hidden="1">
      <c r="I22" s="26"/>
    </row>
    <row r="23" spans="1:22" hidden="1">
      <c r="I23" s="26"/>
    </row>
    <row r="24" spans="1:22" hidden="1">
      <c r="I24" s="26"/>
    </row>
    <row r="25" spans="1:22" hidden="1"/>
    <row r="26" spans="1:22">
      <c r="B26" s="11"/>
      <c r="C26" s="4"/>
      <c r="D26" s="988" t="s">
        <v>137</v>
      </c>
      <c r="E26" s="988"/>
      <c r="F26" s="988"/>
      <c r="G26" s="173"/>
      <c r="H26" s="999" t="s">
        <v>93</v>
      </c>
      <c r="I26" s="999"/>
      <c r="J26" s="999"/>
      <c r="K26" s="999"/>
      <c r="L26" s="999"/>
      <c r="M26" s="999"/>
      <c r="N26" s="999"/>
      <c r="P26" s="999" t="s">
        <v>107</v>
      </c>
      <c r="Q26" s="999"/>
      <c r="R26" s="999"/>
      <c r="S26" s="999"/>
      <c r="T26" s="999"/>
      <c r="U26" s="999"/>
      <c r="V26" s="999"/>
    </row>
    <row r="27" spans="1:22">
      <c r="B27" s="11"/>
      <c r="C27" s="4"/>
      <c r="D27" s="186"/>
      <c r="E27" s="191"/>
      <c r="F27" s="191"/>
      <c r="G27" s="173"/>
      <c r="H27" s="192" t="s">
        <v>0</v>
      </c>
      <c r="I27" s="192" t="s">
        <v>95</v>
      </c>
      <c r="J27" s="192" t="s">
        <v>0</v>
      </c>
      <c r="K27" s="192" t="s">
        <v>0</v>
      </c>
      <c r="L27" s="192" t="s">
        <v>0</v>
      </c>
      <c r="M27" s="192" t="s">
        <v>0</v>
      </c>
      <c r="N27" s="192" t="s">
        <v>96</v>
      </c>
      <c r="P27" s="192" t="s">
        <v>0</v>
      </c>
      <c r="Q27" s="192" t="s">
        <v>95</v>
      </c>
      <c r="R27" s="192" t="s">
        <v>0</v>
      </c>
      <c r="S27" s="192" t="s">
        <v>0</v>
      </c>
      <c r="T27" s="192" t="s">
        <v>0</v>
      </c>
      <c r="U27" s="192" t="s">
        <v>0</v>
      </c>
      <c r="V27" s="192" t="s">
        <v>96</v>
      </c>
    </row>
    <row r="28" spans="1:22" ht="16" thickBot="1">
      <c r="A28" s="14"/>
      <c r="B28" s="15"/>
      <c r="C28" s="18"/>
      <c r="D28" s="193">
        <v>2015</v>
      </c>
      <c r="E28" s="193">
        <f>D28-1</f>
        <v>2014</v>
      </c>
      <c r="F28" s="193" t="s">
        <v>81</v>
      </c>
      <c r="G28" s="173"/>
      <c r="H28" s="194" t="s">
        <v>97</v>
      </c>
      <c r="I28" s="194" t="s">
        <v>0</v>
      </c>
      <c r="J28" s="194" t="s">
        <v>98</v>
      </c>
      <c r="K28" s="194" t="s">
        <v>99</v>
      </c>
      <c r="L28" s="194" t="s">
        <v>108</v>
      </c>
      <c r="M28" s="210" t="s">
        <v>109</v>
      </c>
      <c r="N28" s="194" t="s">
        <v>0</v>
      </c>
      <c r="P28" s="194" t="s">
        <v>97</v>
      </c>
      <c r="Q28" s="194" t="s">
        <v>0</v>
      </c>
      <c r="R28" s="194" t="s">
        <v>98</v>
      </c>
      <c r="S28" s="194" t="s">
        <v>99</v>
      </c>
      <c r="T28" s="194" t="s">
        <v>108</v>
      </c>
      <c r="U28" s="194" t="s">
        <v>109</v>
      </c>
      <c r="V28" s="194" t="s">
        <v>0</v>
      </c>
    </row>
    <row r="29" spans="1:22">
      <c r="A29" s="25" t="s">
        <v>5</v>
      </c>
      <c r="B29" s="25"/>
      <c r="C29" s="24">
        <f>C31-C28-C30</f>
        <v>0</v>
      </c>
      <c r="D29" s="52">
        <f>+'Consolidado Resultados'!C7</f>
        <v>114801</v>
      </c>
      <c r="E29" s="52">
        <f>+'Consolidado Resultados'!E7</f>
        <v>94543</v>
      </c>
      <c r="F29" s="24">
        <f>+ROUND(((+D29/E29)-1)*100,1)</f>
        <v>21.4</v>
      </c>
      <c r="G29" s="23"/>
      <c r="H29" s="26">
        <f t="shared" ref="H29:H35" si="7">+D29-E29</f>
        <v>20258</v>
      </c>
      <c r="I29" s="26">
        <f>+'Coca-Cola FEMSA'!C8-'Coca-Cola FEMSA'!E8</f>
        <v>10169</v>
      </c>
      <c r="J29" s="26"/>
      <c r="K29" s="26" t="e">
        <f>+#REF!-#REF!</f>
        <v>#REF!</v>
      </c>
      <c r="L29" s="118">
        <v>685</v>
      </c>
      <c r="M29" s="118">
        <v>285.95</v>
      </c>
      <c r="N29" s="26" t="e">
        <f t="shared" ref="N29:N35" si="8">+H29-I29-J29-K29-L29-M29</f>
        <v>#REF!</v>
      </c>
      <c r="O29" s="20"/>
      <c r="P29" s="54">
        <f t="shared" ref="P29:Q33" si="9">+ROUND(H29/$H29,3)</f>
        <v>1</v>
      </c>
      <c r="Q29" s="54">
        <f t="shared" si="9"/>
        <v>0.502</v>
      </c>
      <c r="R29" s="54"/>
      <c r="S29" s="54" t="e">
        <f t="shared" ref="S29:V40" si="10">+ROUND(K29/$H29,3)</f>
        <v>#REF!</v>
      </c>
      <c r="T29" s="54">
        <f t="shared" si="10"/>
        <v>3.4000000000000002E-2</v>
      </c>
      <c r="U29" s="54">
        <f t="shared" si="10"/>
        <v>1.4E-2</v>
      </c>
      <c r="V29" s="54" t="e">
        <f t="shared" si="10"/>
        <v>#REF!</v>
      </c>
    </row>
    <row r="30" spans="1:22">
      <c r="A30" s="34" t="s">
        <v>6</v>
      </c>
      <c r="B30" s="25"/>
      <c r="C30" s="24"/>
      <c r="D30" s="52">
        <f>+'Consolidado Resultados'!C8</f>
        <v>72597</v>
      </c>
      <c r="E30" s="52">
        <f>+'Consolidado Resultados'!E8</f>
        <v>59215</v>
      </c>
      <c r="F30" s="195">
        <f t="shared" ref="F30:F40" si="11">+ROUND(((+D30/E30)-1)*100,1)</f>
        <v>22.6</v>
      </c>
      <c r="G30" s="23"/>
      <c r="H30" s="26">
        <f t="shared" si="7"/>
        <v>13382</v>
      </c>
      <c r="I30" s="26">
        <f>+'Coca-Cola FEMSA'!C9-'Coca-Cola FEMSA'!E9</f>
        <v>5787</v>
      </c>
      <c r="J30" s="26"/>
      <c r="K30" s="26" t="e">
        <f>+#REF!-#REF!</f>
        <v>#REF!</v>
      </c>
      <c r="L30" s="118">
        <v>696</v>
      </c>
      <c r="M30" s="118">
        <v>208.45</v>
      </c>
      <c r="N30" s="26" t="e">
        <f t="shared" si="8"/>
        <v>#REF!</v>
      </c>
      <c r="P30" s="54">
        <f t="shared" si="9"/>
        <v>1</v>
      </c>
      <c r="Q30" s="54">
        <f t="shared" si="9"/>
        <v>0.432</v>
      </c>
      <c r="R30" s="54"/>
      <c r="S30" s="54" t="e">
        <f t="shared" si="10"/>
        <v>#REF!</v>
      </c>
      <c r="T30" s="54">
        <f t="shared" si="10"/>
        <v>5.1999999999999998E-2</v>
      </c>
      <c r="U30" s="54">
        <f t="shared" si="10"/>
        <v>1.6E-2</v>
      </c>
      <c r="V30" s="54" t="e">
        <f t="shared" si="10"/>
        <v>#REF!</v>
      </c>
    </row>
    <row r="31" spans="1:22">
      <c r="A31" s="34" t="s">
        <v>7</v>
      </c>
      <c r="B31" s="25"/>
      <c r="C31" s="24"/>
      <c r="D31" s="198">
        <f>+'Consolidado Resultados'!C9</f>
        <v>42204</v>
      </c>
      <c r="E31" s="198">
        <f>+'Consolidado Resultados'!E9</f>
        <v>35328</v>
      </c>
      <c r="F31" s="195">
        <f t="shared" si="11"/>
        <v>19.5</v>
      </c>
      <c r="G31" s="38"/>
      <c r="H31" s="199">
        <f t="shared" si="7"/>
        <v>6876</v>
      </c>
      <c r="I31" s="199">
        <f>+'Coca-Cola FEMSA'!C10-'Coca-Cola FEMSA'!E10</f>
        <v>4381</v>
      </c>
      <c r="J31" s="199"/>
      <c r="K31" s="199" t="e">
        <f>+#REF!-#REF!</f>
        <v>#REF!</v>
      </c>
      <c r="L31" s="229">
        <f>+L29-L30</f>
        <v>-11</v>
      </c>
      <c r="M31" s="229">
        <f>+M29-M30</f>
        <v>77.5</v>
      </c>
      <c r="N31" s="199" t="e">
        <f t="shared" si="8"/>
        <v>#REF!</v>
      </c>
      <c r="P31" s="200">
        <f t="shared" si="9"/>
        <v>1</v>
      </c>
      <c r="Q31" s="200">
        <f t="shared" si="9"/>
        <v>0.63700000000000001</v>
      </c>
      <c r="R31" s="200"/>
      <c r="S31" s="200" t="e">
        <f t="shared" si="10"/>
        <v>#REF!</v>
      </c>
      <c r="T31" s="200">
        <f t="shared" si="10"/>
        <v>-2E-3</v>
      </c>
      <c r="U31" s="200">
        <f t="shared" si="10"/>
        <v>1.0999999999999999E-2</v>
      </c>
      <c r="V31" s="200" t="e">
        <f t="shared" si="10"/>
        <v>#REF!</v>
      </c>
    </row>
    <row r="32" spans="1:22">
      <c r="A32" s="21" t="s">
        <v>100</v>
      </c>
      <c r="B32" s="21"/>
      <c r="C32" s="24"/>
      <c r="D32" s="52">
        <f>+'Consolidado Resultados'!C10</f>
        <v>3972</v>
      </c>
      <c r="E32" s="52">
        <f>+'Consolidado Resultados'!E10</f>
        <v>3692</v>
      </c>
      <c r="F32" s="24">
        <f t="shared" si="11"/>
        <v>7.6</v>
      </c>
      <c r="G32" s="23"/>
      <c r="H32" s="26">
        <f t="shared" si="7"/>
        <v>280</v>
      </c>
      <c r="I32" s="26">
        <f>+'Coca-Cola FEMSA'!C11-'Coca-Cola FEMSA'!E11</f>
        <v>361</v>
      </c>
      <c r="J32" s="26"/>
      <c r="K32" s="26" t="e">
        <f>+#REF!-#REF!</f>
        <v>#REF!</v>
      </c>
      <c r="L32" s="118">
        <v>15</v>
      </c>
      <c r="M32" s="118">
        <v>6.0780000000000003</v>
      </c>
      <c r="N32" s="26" t="e">
        <f t="shared" si="8"/>
        <v>#REF!</v>
      </c>
      <c r="P32" s="54">
        <f t="shared" si="9"/>
        <v>1</v>
      </c>
      <c r="Q32" s="54">
        <f t="shared" si="9"/>
        <v>1.2889999999999999</v>
      </c>
      <c r="R32" s="54"/>
      <c r="S32" s="54" t="e">
        <f t="shared" si="10"/>
        <v>#REF!</v>
      </c>
      <c r="T32" s="54">
        <f t="shared" si="10"/>
        <v>5.3999999999999999E-2</v>
      </c>
      <c r="U32" s="54">
        <f t="shared" si="10"/>
        <v>2.1999999999999999E-2</v>
      </c>
      <c r="V32" s="54" t="e">
        <f t="shared" si="10"/>
        <v>#REF!</v>
      </c>
    </row>
    <row r="33" spans="1:22" s="6" customFormat="1">
      <c r="A33" s="21" t="s">
        <v>101</v>
      </c>
      <c r="B33" s="21"/>
      <c r="C33" s="24"/>
      <c r="D33" s="52">
        <f>+'Consolidado Resultados'!C11</f>
        <v>27615</v>
      </c>
      <c r="E33" s="52">
        <f>+'Consolidado Resultados'!E11</f>
        <v>22370</v>
      </c>
      <c r="F33" s="24">
        <f t="shared" si="11"/>
        <v>23.4</v>
      </c>
      <c r="G33" s="38"/>
      <c r="H33" s="26">
        <f t="shared" si="7"/>
        <v>5245</v>
      </c>
      <c r="I33" s="26">
        <f>+'Coca-Cola FEMSA'!C12-'Coca-Cola FEMSA'!E12</f>
        <v>3177</v>
      </c>
      <c r="J33" s="26"/>
      <c r="K33" s="26" t="e">
        <f>+#REF!-#REF!</f>
        <v>#REF!</v>
      </c>
      <c r="L33" s="118">
        <v>0</v>
      </c>
      <c r="M33" s="118">
        <v>21.24</v>
      </c>
      <c r="N33" s="26" t="e">
        <f t="shared" si="8"/>
        <v>#REF!</v>
      </c>
      <c r="P33" s="54">
        <f t="shared" si="9"/>
        <v>1</v>
      </c>
      <c r="Q33" s="54">
        <f t="shared" si="9"/>
        <v>0.60599999999999998</v>
      </c>
      <c r="R33" s="54"/>
      <c r="S33" s="54" t="e">
        <f t="shared" si="10"/>
        <v>#REF!</v>
      </c>
      <c r="T33" s="54">
        <f t="shared" si="10"/>
        <v>0</v>
      </c>
      <c r="U33" s="54">
        <f t="shared" si="10"/>
        <v>4.0000000000000001E-3</v>
      </c>
      <c r="V33" s="54" t="e">
        <f t="shared" si="10"/>
        <v>#REF!</v>
      </c>
    </row>
    <row r="34" spans="1:22" outlineLevel="1">
      <c r="A34" s="25" t="s">
        <v>74</v>
      </c>
      <c r="B34" s="21"/>
      <c r="C34" s="24"/>
      <c r="D34" s="52" t="e">
        <f>+'Consolidado Resultados'!#REF!</f>
        <v>#REF!</v>
      </c>
      <c r="E34" s="52" t="e">
        <f>+'Consolidado Resultados'!#REF!</f>
        <v>#REF!</v>
      </c>
      <c r="F34" s="213" t="e">
        <f>IF((((D34/E34)-1)*100)&gt;=100,"N.A.",(IF((((D34/E34)-1)*100)&lt;=-100,"N.A.",(((D34/E34)-1)*100))))</f>
        <v>#REF!</v>
      </c>
      <c r="G34" s="38"/>
      <c r="H34" s="26" t="e">
        <f t="shared" si="7"/>
        <v>#REF!</v>
      </c>
      <c r="I34" s="26" t="e">
        <f>+'Coca-Cola FEMSA'!#REF!-'Coca-Cola FEMSA'!#REF!</f>
        <v>#REF!</v>
      </c>
      <c r="J34" s="26"/>
      <c r="K34" s="26"/>
      <c r="L34" s="118"/>
      <c r="M34" s="118">
        <v>0</v>
      </c>
      <c r="N34" s="26" t="e">
        <f t="shared" si="8"/>
        <v>#REF!</v>
      </c>
      <c r="P34" s="54" t="e">
        <f t="shared" ref="P34:P36" si="12">+ROUND(H34/$H34,3)</f>
        <v>#REF!</v>
      </c>
      <c r="Q34" s="54" t="e">
        <f t="shared" ref="Q34:Q36" si="13">+ROUND(I34/$H34,3)</f>
        <v>#REF!</v>
      </c>
      <c r="R34" s="54"/>
      <c r="S34" s="54" t="e">
        <f t="shared" ref="S34:S36" si="14">+ROUND(K34/$H34,3)</f>
        <v>#REF!</v>
      </c>
      <c r="T34" s="54" t="e">
        <f t="shared" ref="T34:T36" si="15">+ROUND(L34/$H34,3)</f>
        <v>#REF!</v>
      </c>
      <c r="U34" s="54" t="e">
        <f t="shared" ref="U34:U36" si="16">+ROUND(M34/$H34,3)</f>
        <v>#REF!</v>
      </c>
      <c r="V34" s="54" t="e">
        <f t="shared" ref="V34:V36" si="17">+ROUND(N34/$H34,3)</f>
        <v>#REF!</v>
      </c>
    </row>
    <row r="35" spans="1:22" outlineLevel="1">
      <c r="A35" s="25" t="s">
        <v>69</v>
      </c>
      <c r="B35" s="21"/>
      <c r="C35" s="24"/>
      <c r="D35" s="52" t="e">
        <f>+'Consolidado Resultados'!#REF!</f>
        <v>#REF!</v>
      </c>
      <c r="E35" s="52" t="e">
        <f>+'Consolidado Resultados'!#REF!</f>
        <v>#REF!</v>
      </c>
      <c r="F35" s="213" t="e">
        <f>IF((((D35/E35)-1)*100)&gt;=100,"N.A.",(IF((((D35/E35)-1)*100)&lt;=-100,"N.A.",(((D35/E35)-1)*100))))</f>
        <v>#REF!</v>
      </c>
      <c r="G35" s="38"/>
      <c r="H35" s="26" t="e">
        <f t="shared" si="7"/>
        <v>#REF!</v>
      </c>
      <c r="I35" s="26" t="e">
        <f>+'Coca-Cola FEMSA'!#REF!-'Coca-Cola FEMSA'!#REF!</f>
        <v>#REF!</v>
      </c>
      <c r="J35" s="26"/>
      <c r="K35" s="26" t="e">
        <f>+#REF!-#REF!</f>
        <v>#REF!</v>
      </c>
      <c r="L35" s="118">
        <v>-4</v>
      </c>
      <c r="M35" s="118">
        <v>7.14</v>
      </c>
      <c r="N35" s="26" t="e">
        <f t="shared" si="8"/>
        <v>#REF!</v>
      </c>
      <c r="P35" s="54" t="e">
        <f t="shared" si="12"/>
        <v>#REF!</v>
      </c>
      <c r="Q35" s="54" t="e">
        <f t="shared" si="13"/>
        <v>#REF!</v>
      </c>
      <c r="R35" s="54"/>
      <c r="S35" s="54" t="e">
        <f t="shared" si="14"/>
        <v>#REF!</v>
      </c>
      <c r="T35" s="54" t="e">
        <f t="shared" si="15"/>
        <v>#REF!</v>
      </c>
      <c r="U35" s="54" t="e">
        <f t="shared" si="16"/>
        <v>#REF!</v>
      </c>
      <c r="V35" s="54" t="e">
        <f t="shared" si="17"/>
        <v>#REF!</v>
      </c>
    </row>
    <row r="36" spans="1:22" ht="17.5">
      <c r="A36" s="25" t="s">
        <v>82</v>
      </c>
      <c r="B36" s="21"/>
      <c r="C36" s="24"/>
      <c r="D36" s="52">
        <f>+'Consolidado Resultados'!C12</f>
        <v>192</v>
      </c>
      <c r="E36" s="52">
        <f>+'Consolidado Resultados'!E12</f>
        <v>-143</v>
      </c>
      <c r="F36" s="24" t="str">
        <f>IF((((D36/E36)-1)*100)&gt;=100,"N.A.",(IF((((D36/E36)-1)*100)&lt;=-100,"N.A.",(((D36/E36)-1)*100))))</f>
        <v>N.A.</v>
      </c>
      <c r="G36" s="38"/>
      <c r="H36" s="26" t="e">
        <f>+H34-H35</f>
        <v>#REF!</v>
      </c>
      <c r="I36" s="26" t="e">
        <f>+I34-I35</f>
        <v>#REF!</v>
      </c>
      <c r="J36" s="26"/>
      <c r="K36" s="26" t="e">
        <f>+K34-K35</f>
        <v>#REF!</v>
      </c>
      <c r="L36" s="118">
        <f>+L34-L35</f>
        <v>4</v>
      </c>
      <c r="M36" s="118">
        <v>7.14</v>
      </c>
      <c r="N36" s="26" t="e">
        <f>+N34-N35</f>
        <v>#REF!</v>
      </c>
      <c r="P36" s="54" t="e">
        <f t="shared" si="12"/>
        <v>#REF!</v>
      </c>
      <c r="Q36" s="54" t="e">
        <f t="shared" si="13"/>
        <v>#REF!</v>
      </c>
      <c r="R36" s="54"/>
      <c r="S36" s="54" t="e">
        <f t="shared" si="14"/>
        <v>#REF!</v>
      </c>
      <c r="T36" s="54" t="e">
        <f t="shared" si="15"/>
        <v>#REF!</v>
      </c>
      <c r="U36" s="54" t="e">
        <f t="shared" si="16"/>
        <v>#REF!</v>
      </c>
      <c r="V36" s="54" t="e">
        <f t="shared" si="17"/>
        <v>#REF!</v>
      </c>
    </row>
    <row r="37" spans="1:22">
      <c r="A37" s="43" t="s">
        <v>110</v>
      </c>
      <c r="D37" s="203">
        <f>+'Consolidado Resultados'!C13</f>
        <v>10425</v>
      </c>
      <c r="E37" s="203">
        <f>+'Consolidado Resultados'!E13</f>
        <v>9409</v>
      </c>
      <c r="F37" s="202">
        <f t="shared" si="11"/>
        <v>10.8</v>
      </c>
      <c r="H37" s="199">
        <f>+D37-E37</f>
        <v>1016</v>
      </c>
      <c r="I37" s="199">
        <f>+'Coca-Cola FEMSA'!C14-'Coca-Cola FEMSA'!E14</f>
        <v>487</v>
      </c>
      <c r="J37" s="199"/>
      <c r="K37" s="199" t="e">
        <f>+#REF!-#REF!</f>
        <v>#REF!</v>
      </c>
      <c r="L37" s="229">
        <v>-21</v>
      </c>
      <c r="M37" s="229">
        <v>43.042000000000002</v>
      </c>
      <c r="N37" s="199" t="e">
        <f>+H37-I37-J37-K37-L37-M37</f>
        <v>#REF!</v>
      </c>
      <c r="P37" s="200">
        <f t="shared" ref="P37:Q40" si="18">+ROUND(H37/$H37,3)</f>
        <v>1</v>
      </c>
      <c r="Q37" s="200">
        <f t="shared" si="18"/>
        <v>0.47899999999999998</v>
      </c>
      <c r="R37" s="200"/>
      <c r="S37" s="200" t="e">
        <f t="shared" si="10"/>
        <v>#REF!</v>
      </c>
      <c r="T37" s="200">
        <f t="shared" si="10"/>
        <v>-2.1000000000000001E-2</v>
      </c>
      <c r="U37" s="200">
        <f t="shared" si="10"/>
        <v>4.2000000000000003E-2</v>
      </c>
      <c r="V37" s="200" t="e">
        <f>+ROUND(N37/$H37,3)</f>
        <v>#REF!</v>
      </c>
    </row>
    <row r="38" spans="1:22">
      <c r="A38" s="6" t="s">
        <v>17</v>
      </c>
      <c r="D38" s="52">
        <f>+'Consolidado Resultados'!C30</f>
        <v>3775</v>
      </c>
      <c r="E38" s="52">
        <f>+'Consolidado Resultados'!E30</f>
        <v>2813</v>
      </c>
      <c r="F38" s="24">
        <f t="shared" si="11"/>
        <v>34.200000000000003</v>
      </c>
      <c r="H38" s="26">
        <f>+D38-E38</f>
        <v>962</v>
      </c>
      <c r="I38" s="26">
        <f>+'Coca-Cola FEMSA'!C15-'Coca-Cola FEMSA'!E15</f>
        <v>759</v>
      </c>
      <c r="J38" s="26"/>
      <c r="K38" s="26" t="e">
        <f>+#REF!-#REF!</f>
        <v>#REF!</v>
      </c>
      <c r="L38" s="118">
        <v>40</v>
      </c>
      <c r="M38" s="118">
        <v>-0.127</v>
      </c>
      <c r="N38" s="26" t="e">
        <f>+H38-I38-J38-K38-L38-M38</f>
        <v>#REF!</v>
      </c>
      <c r="P38" s="54">
        <f t="shared" si="18"/>
        <v>1</v>
      </c>
      <c r="Q38" s="54">
        <f t="shared" si="18"/>
        <v>0.78900000000000003</v>
      </c>
      <c r="R38" s="54"/>
      <c r="S38" s="54" t="e">
        <f t="shared" si="10"/>
        <v>#REF!</v>
      </c>
      <c r="T38" s="54">
        <f t="shared" si="10"/>
        <v>4.2000000000000003E-2</v>
      </c>
      <c r="U38" s="54">
        <f t="shared" si="10"/>
        <v>0</v>
      </c>
      <c r="V38" s="54" t="e">
        <f>+ROUND(N38/$H38,3)</f>
        <v>#REF!</v>
      </c>
    </row>
    <row r="39" spans="1:22">
      <c r="A39" s="34" t="s">
        <v>104</v>
      </c>
      <c r="D39" s="160">
        <f>+'Consolidado Resultados'!C31</f>
        <v>1084</v>
      </c>
      <c r="E39" s="160">
        <f>+'Consolidado Resultados'!E31</f>
        <v>613</v>
      </c>
      <c r="F39" s="195">
        <f t="shared" si="11"/>
        <v>76.8</v>
      </c>
      <c r="H39" s="26">
        <f>+D39-E39</f>
        <v>471</v>
      </c>
      <c r="I39" s="26">
        <f>+'Coca-Cola FEMSA'!C16-'Coca-Cola FEMSA'!E16</f>
        <v>433</v>
      </c>
      <c r="J39" s="26"/>
      <c r="K39" s="26" t="e">
        <f>+#REF!-#REF!</f>
        <v>#REF!</v>
      </c>
      <c r="L39" s="118">
        <v>11</v>
      </c>
      <c r="M39" s="118">
        <v>7.1130000000000004</v>
      </c>
      <c r="N39" s="26" t="e">
        <f>+H39-I39-J39-K39-L39-M39</f>
        <v>#REF!</v>
      </c>
      <c r="P39" s="54">
        <f t="shared" si="18"/>
        <v>1</v>
      </c>
      <c r="Q39" s="54">
        <f t="shared" si="18"/>
        <v>0.91900000000000004</v>
      </c>
      <c r="R39" s="54"/>
      <c r="S39" s="54" t="e">
        <f t="shared" si="10"/>
        <v>#REF!</v>
      </c>
      <c r="T39" s="54">
        <f t="shared" si="10"/>
        <v>2.3E-2</v>
      </c>
      <c r="U39" s="54">
        <f t="shared" si="10"/>
        <v>1.4999999999999999E-2</v>
      </c>
      <c r="V39" s="54" t="e">
        <f>+ROUND(N39/$H39,3)</f>
        <v>#REF!</v>
      </c>
    </row>
    <row r="40" spans="1:22" s="6" customFormat="1">
      <c r="A40" s="74" t="s">
        <v>106</v>
      </c>
      <c r="D40" s="198">
        <f>D37+D38+D39</f>
        <v>15284</v>
      </c>
      <c r="E40" s="198">
        <f>E37+E38+E39</f>
        <v>12835</v>
      </c>
      <c r="F40" s="202">
        <f t="shared" si="11"/>
        <v>19.100000000000001</v>
      </c>
      <c r="H40" s="205">
        <f>H37+H38+H39</f>
        <v>2449</v>
      </c>
      <c r="I40" s="205">
        <f>I37+I38+I39</f>
        <v>1679</v>
      </c>
      <c r="J40" s="199"/>
      <c r="K40" s="199" t="e">
        <f>K37+K38+K39</f>
        <v>#REF!</v>
      </c>
      <c r="L40" s="229">
        <f>+L37+L38+L39</f>
        <v>30</v>
      </c>
      <c r="M40" s="229">
        <f>+M37+M38+M39</f>
        <v>50.027999999999999</v>
      </c>
      <c r="N40" s="199" t="e">
        <f>+H40-I40-J40-K40-L40-M40</f>
        <v>#REF!</v>
      </c>
      <c r="P40" s="200">
        <f t="shared" si="18"/>
        <v>1</v>
      </c>
      <c r="Q40" s="200">
        <f t="shared" si="18"/>
        <v>0.68600000000000005</v>
      </c>
      <c r="R40" s="200"/>
      <c r="S40" s="200" t="e">
        <f t="shared" si="10"/>
        <v>#REF!</v>
      </c>
      <c r="T40" s="200">
        <f t="shared" si="10"/>
        <v>1.2E-2</v>
      </c>
      <c r="U40" s="200">
        <f t="shared" si="10"/>
        <v>0.02</v>
      </c>
      <c r="V40" s="200" t="e">
        <f>+ROUND(N40/$H40,3)</f>
        <v>#REF!</v>
      </c>
    </row>
    <row r="41" spans="1:22" s="6" customFormat="1">
      <c r="A41" s="21"/>
      <c r="H41" s="228">
        <f>+H38+H39</f>
        <v>1433</v>
      </c>
      <c r="I41" s="228">
        <f t="shared" ref="I41:N41" si="19">+I38+I39</f>
        <v>1192</v>
      </c>
      <c r="J41" s="228">
        <f t="shared" si="19"/>
        <v>0</v>
      </c>
      <c r="K41" s="228" t="e">
        <f t="shared" si="19"/>
        <v>#REF!</v>
      </c>
      <c r="L41" s="228">
        <f t="shared" si="19"/>
        <v>51</v>
      </c>
      <c r="M41" s="228">
        <f t="shared" si="19"/>
        <v>6.9860000000000007</v>
      </c>
      <c r="N41" s="228" t="e">
        <f t="shared" si="19"/>
        <v>#REF!</v>
      </c>
      <c r="Q41" s="84"/>
      <c r="S41" s="84"/>
      <c r="T41" s="84"/>
      <c r="U41" s="84"/>
    </row>
    <row r="42" spans="1:22" s="6" customFormat="1">
      <c r="A42" s="21"/>
      <c r="I42" s="26"/>
      <c r="K42" s="26"/>
      <c r="L42" s="26"/>
      <c r="M42" s="26"/>
      <c r="Q42" s="84"/>
      <c r="S42" s="84"/>
      <c r="T42" s="84"/>
      <c r="U42" s="84"/>
    </row>
    <row r="43" spans="1:22" s="6" customFormat="1">
      <c r="A43" s="25"/>
      <c r="I43" s="26"/>
      <c r="Q43" s="84"/>
      <c r="S43" s="84"/>
      <c r="T43" s="84"/>
      <c r="U43" s="84"/>
    </row>
    <row r="44" spans="1:22" s="6" customFormat="1">
      <c r="A44" s="25"/>
      <c r="D44" s="66"/>
      <c r="E44" s="66"/>
      <c r="F44" s="66"/>
      <c r="I44" s="26"/>
      <c r="Q44" s="84"/>
      <c r="S44" s="84"/>
      <c r="T44" s="84"/>
      <c r="U44" s="84"/>
    </row>
    <row r="45" spans="1:22" s="6" customFormat="1">
      <c r="A45" s="25"/>
      <c r="D45" s="66"/>
      <c r="E45" s="66"/>
      <c r="F45" s="66"/>
      <c r="I45" s="26"/>
      <c r="Q45" s="84"/>
      <c r="S45" s="84"/>
      <c r="T45" s="84"/>
      <c r="U45" s="84"/>
    </row>
    <row r="46" spans="1:22" s="6" customFormat="1">
      <c r="A46" s="21"/>
      <c r="I46" s="26"/>
      <c r="Q46" s="84"/>
      <c r="S46" s="84"/>
      <c r="T46" s="84"/>
      <c r="U46" s="84"/>
    </row>
    <row r="47" spans="1:22" s="6" customFormat="1">
      <c r="A47" s="21"/>
      <c r="I47" s="26"/>
      <c r="Q47" s="84"/>
      <c r="S47" s="84"/>
      <c r="T47" s="84"/>
      <c r="U47" s="84"/>
    </row>
    <row r="48" spans="1:22" s="6" customFormat="1">
      <c r="A48" s="25"/>
      <c r="I48" s="26"/>
      <c r="Q48" s="84"/>
      <c r="S48" s="84"/>
      <c r="T48" s="84"/>
      <c r="U48" s="84"/>
    </row>
    <row r="49" spans="1:21" s="6" customFormat="1">
      <c r="A49" s="79"/>
      <c r="I49" s="42"/>
      <c r="Q49" s="84"/>
      <c r="S49" s="84"/>
      <c r="T49" s="84"/>
      <c r="U49" s="84"/>
    </row>
  </sheetData>
  <mergeCells count="10">
    <mergeCell ref="D26:F26"/>
    <mergeCell ref="H26:N26"/>
    <mergeCell ref="P26:V26"/>
    <mergeCell ref="A1:V1"/>
    <mergeCell ref="A2:V2"/>
    <mergeCell ref="A3:V3"/>
    <mergeCell ref="A4:V4"/>
    <mergeCell ref="D7:F7"/>
    <mergeCell ref="H7:N7"/>
    <mergeCell ref="P7:V7"/>
  </mergeCells>
  <pageMargins left="1" right="0.24" top="1" bottom="1" header="0.5" footer="0.5"/>
  <pageSetup scale="42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81" r:id="rId4">
          <objectPr defaultSize="0" autoPict="0" r:id="rId5">
            <anchor moveWithCells="1" sizeWithCells="1">
              <from>
                <xdr:col>2</xdr:col>
                <xdr:colOff>0</xdr:colOff>
                <xdr:row>17</xdr:row>
                <xdr:rowOff>0</xdr:rowOff>
              </from>
              <to>
                <xdr:col>2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20481" r:id="rId4"/>
      </mc:Fallback>
    </mc:AlternateContent>
    <mc:AlternateContent xmlns:mc="http://schemas.openxmlformats.org/markup-compatibility/2006">
      <mc:Choice Requires="x14">
        <oleObject progId="Word.Picture.8" shapeId="20482" r:id="rId6">
          <objectPr defaultSize="0" autoPict="0" r:id="rId5">
            <anchor moveWithCells="1" sizeWithCells="1">
              <from>
                <xdr:col>2</xdr:col>
                <xdr:colOff>0</xdr:colOff>
                <xdr:row>20</xdr:row>
                <xdr:rowOff>0</xdr:rowOff>
              </from>
              <to>
                <xdr:col>2</xdr:col>
                <xdr:colOff>0</xdr:colOff>
                <xdr:row>20</xdr:row>
                <xdr:rowOff>0</xdr:rowOff>
              </to>
            </anchor>
          </objectPr>
        </oleObject>
      </mc:Choice>
      <mc:Fallback>
        <oleObject progId="Word.Picture.8" shapeId="20482" r:id="rId6"/>
      </mc:Fallback>
    </mc:AlternateContent>
    <mc:AlternateContent xmlns:mc="http://schemas.openxmlformats.org/markup-compatibility/2006">
      <mc:Choice Requires="x14">
        <oleObject progId="Word.Picture.8" shapeId="20483" r:id="rId7">
          <objectPr defaultSize="0" autoPict="0" r:id="rId5">
            <anchor moveWithCells="1" sizeWithCells="1">
              <from>
                <xdr:col>2</xdr:col>
                <xdr:colOff>0</xdr:colOff>
                <xdr:row>36</xdr:row>
                <xdr:rowOff>0</xdr:rowOff>
              </from>
              <to>
                <xdr:col>2</xdr:col>
                <xdr:colOff>0</xdr:colOff>
                <xdr:row>36</xdr:row>
                <xdr:rowOff>0</xdr:rowOff>
              </to>
            </anchor>
          </objectPr>
        </oleObject>
      </mc:Choice>
      <mc:Fallback>
        <oleObject progId="Word.Picture.8" shapeId="20483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8"/>
  <sheetViews>
    <sheetView showGridLines="0" tabSelected="1" zoomScaleNormal="100" zoomScaleSheetLayoutView="70" workbookViewId="0">
      <selection sqref="A1:H1"/>
    </sheetView>
  </sheetViews>
  <sheetFormatPr defaultColWidth="9.81640625" defaultRowHeight="10.5"/>
  <cols>
    <col min="1" max="1" width="31.7265625" style="748" customWidth="1"/>
    <col min="2" max="2" width="1.7265625" style="758" customWidth="1"/>
    <col min="3" max="3" width="10.81640625" style="755" customWidth="1"/>
    <col min="4" max="5" width="10.7265625" style="755" customWidth="1"/>
    <col min="6" max="6" width="10.54296875" style="755" customWidth="1"/>
    <col min="7" max="7" width="10.7265625" style="756" customWidth="1"/>
    <col min="8" max="8" width="10.7265625" style="757" customWidth="1"/>
    <col min="9" max="9" width="9.81640625" style="756" customWidth="1"/>
    <col min="10" max="12" width="14.7265625" style="707" customWidth="1"/>
    <col min="13" max="14" width="6.7265625" style="258" bestFit="1" customWidth="1"/>
    <col min="15" max="18" width="1.7265625" style="258" customWidth="1"/>
    <col min="19" max="19" width="15.1796875" style="740" customWidth="1"/>
    <col min="20" max="20" width="19.26953125" style="256" customWidth="1"/>
    <col min="21" max="21" width="12.26953125" style="256" customWidth="1"/>
    <col min="22" max="22" width="12.1796875" style="256" customWidth="1"/>
    <col min="23" max="23" width="10.453125" style="256" bestFit="1" customWidth="1"/>
    <col min="24" max="24" width="8.26953125" style="256" bestFit="1" customWidth="1"/>
    <col min="25" max="25" width="12.26953125" style="256" bestFit="1" customWidth="1"/>
    <col min="26" max="27" width="9.81640625" style="256"/>
    <col min="28" max="28" width="10" style="256" bestFit="1" customWidth="1"/>
    <col min="29" max="16384" width="9.81640625" style="256"/>
  </cols>
  <sheetData>
    <row r="1" spans="1:29" ht="18" customHeight="1">
      <c r="A1" s="970" t="s">
        <v>0</v>
      </c>
      <c r="B1" s="970"/>
      <c r="C1" s="970"/>
      <c r="D1" s="970"/>
      <c r="E1" s="970"/>
      <c r="F1" s="970"/>
      <c r="G1" s="970"/>
      <c r="H1" s="970"/>
      <c r="I1" s="880"/>
      <c r="J1" s="699"/>
      <c r="K1" s="699"/>
      <c r="L1" s="699"/>
      <c r="M1" s="699"/>
      <c r="N1" s="700"/>
      <c r="O1" s="700"/>
      <c r="P1" s="700"/>
      <c r="Q1" s="700"/>
      <c r="R1" s="700"/>
      <c r="S1" s="701"/>
      <c r="U1" s="257"/>
      <c r="V1" s="257"/>
      <c r="W1" s="257"/>
    </row>
    <row r="2" spans="1:29" ht="11.15" customHeight="1">
      <c r="A2" s="964" t="s">
        <v>40</v>
      </c>
      <c r="B2" s="964"/>
      <c r="C2" s="964"/>
      <c r="D2" s="964"/>
      <c r="E2" s="964"/>
      <c r="F2" s="964"/>
      <c r="G2" s="964"/>
      <c r="H2" s="964"/>
      <c r="I2" s="702"/>
      <c r="J2" s="702"/>
      <c r="K2" s="702"/>
      <c r="L2" s="702"/>
      <c r="M2" s="702"/>
      <c r="N2" s="261"/>
      <c r="O2" s="261"/>
      <c r="P2" s="261"/>
      <c r="Q2" s="261"/>
      <c r="R2" s="261"/>
      <c r="S2" s="703"/>
      <c r="T2" s="254"/>
      <c r="U2" s="259"/>
      <c r="V2" s="259"/>
      <c r="W2" s="259"/>
    </row>
    <row r="3" spans="1:29" ht="11.15" customHeight="1">
      <c r="A3" s="965" t="s">
        <v>2</v>
      </c>
      <c r="B3" s="965"/>
      <c r="C3" s="965"/>
      <c r="D3" s="965"/>
      <c r="E3" s="965"/>
      <c r="F3" s="965"/>
      <c r="G3" s="965"/>
      <c r="H3" s="965"/>
      <c r="I3" s="704"/>
      <c r="J3" s="704"/>
      <c r="K3" s="704"/>
      <c r="L3" s="704"/>
      <c r="M3" s="704"/>
      <c r="N3" s="705"/>
      <c r="O3" s="705"/>
      <c r="P3" s="705"/>
      <c r="Q3" s="705"/>
      <c r="R3" s="705"/>
      <c r="S3" s="706"/>
      <c r="T3" s="254"/>
      <c r="U3" s="254"/>
      <c r="V3" s="254"/>
      <c r="W3" s="254"/>
    </row>
    <row r="4" spans="1:29" ht="11.15" customHeight="1">
      <c r="D4" s="758"/>
      <c r="E4" s="758"/>
      <c r="F4" s="758"/>
      <c r="G4" s="759"/>
      <c r="S4" s="703"/>
      <c r="AB4" s="258"/>
    </row>
    <row r="5" spans="1:29" s="258" customFormat="1" ht="15" customHeight="1">
      <c r="A5" s="784" t="s">
        <v>41</v>
      </c>
      <c r="B5" s="785"/>
      <c r="C5" s="776"/>
      <c r="D5" s="790">
        <v>42903</v>
      </c>
      <c r="E5" s="790" t="s">
        <v>169</v>
      </c>
      <c r="F5" s="789" t="s">
        <v>111</v>
      </c>
      <c r="G5" s="757"/>
      <c r="H5" s="757"/>
      <c r="I5" s="757"/>
      <c r="J5" s="708"/>
      <c r="K5" s="708"/>
      <c r="L5" s="708"/>
      <c r="O5" s="709"/>
      <c r="P5" s="709"/>
      <c r="Q5" s="709"/>
      <c r="R5" s="709"/>
      <c r="S5" s="703"/>
      <c r="W5" s="710"/>
      <c r="X5" s="484"/>
      <c r="AB5" s="711"/>
      <c r="AC5" s="730"/>
    </row>
    <row r="6" spans="1:29" ht="13" customHeight="1">
      <c r="A6" s="749" t="s">
        <v>42</v>
      </c>
      <c r="B6" s="762"/>
      <c r="D6" s="824">
        <v>51249</v>
      </c>
      <c r="E6" s="824">
        <v>43757</v>
      </c>
      <c r="F6" s="753">
        <v>17.121831935461749</v>
      </c>
      <c r="G6" s="760">
        <v>7492</v>
      </c>
      <c r="J6" s="713">
        <v>7492</v>
      </c>
      <c r="O6" s="345"/>
      <c r="P6" s="345"/>
      <c r="Q6" s="345"/>
      <c r="R6" s="345"/>
      <c r="S6" s="714"/>
      <c r="T6" s="715"/>
      <c r="W6" s="258"/>
      <c r="X6" s="258"/>
      <c r="Y6" s="600"/>
      <c r="AB6" s="716"/>
    </row>
    <row r="7" spans="1:29" ht="13" customHeight="1">
      <c r="A7" s="806" t="s">
        <v>43</v>
      </c>
      <c r="B7" s="762"/>
      <c r="C7" s="807"/>
      <c r="D7" s="825">
        <v>22141</v>
      </c>
      <c r="E7" s="825">
        <v>26222</v>
      </c>
      <c r="F7" s="808">
        <v>-15.563267485317667</v>
      </c>
      <c r="G7" s="760"/>
      <c r="O7" s="345"/>
      <c r="P7" s="345"/>
      <c r="Q7" s="345"/>
      <c r="R7" s="345"/>
      <c r="S7" s="714"/>
      <c r="T7" s="717"/>
      <c r="U7" s="718"/>
      <c r="W7" s="484"/>
      <c r="X7" s="711"/>
      <c r="Y7" s="600"/>
      <c r="AB7" s="716"/>
    </row>
    <row r="8" spans="1:29" ht="13" customHeight="1">
      <c r="A8" s="749" t="s">
        <v>44</v>
      </c>
      <c r="B8" s="762"/>
      <c r="D8" s="824">
        <v>30940</v>
      </c>
      <c r="E8" s="824">
        <v>31932</v>
      </c>
      <c r="F8" s="753">
        <v>-3.1066015282475212</v>
      </c>
      <c r="G8" s="760"/>
      <c r="O8" s="345"/>
      <c r="P8" s="345"/>
      <c r="Q8" s="345"/>
      <c r="R8" s="345"/>
      <c r="S8" s="714"/>
      <c r="T8" s="717"/>
      <c r="U8" s="718"/>
      <c r="Y8" s="600"/>
      <c r="AB8" s="716"/>
    </row>
    <row r="9" spans="1:29" ht="13" customHeight="1">
      <c r="A9" s="809" t="s">
        <v>45</v>
      </c>
      <c r="B9" s="762"/>
      <c r="C9" s="810"/>
      <c r="D9" s="826">
        <v>17549</v>
      </c>
      <c r="E9" s="826">
        <v>16040</v>
      </c>
      <c r="F9" s="811">
        <v>9.4077306733167063</v>
      </c>
      <c r="G9" s="760"/>
      <c r="O9" s="345"/>
      <c r="P9" s="345"/>
      <c r="Q9" s="345"/>
      <c r="R9" s="345"/>
      <c r="S9" s="714"/>
      <c r="Y9" s="600"/>
      <c r="AB9" s="716"/>
    </row>
    <row r="10" spans="1:29" ht="13" customHeight="1">
      <c r="A10" s="749" t="s">
        <v>46</v>
      </c>
      <c r="B10" s="762"/>
      <c r="D10" s="824">
        <v>121879</v>
      </c>
      <c r="E10" s="824">
        <v>117951</v>
      </c>
      <c r="F10" s="753">
        <v>3.3301964375037185</v>
      </c>
      <c r="O10" s="345"/>
      <c r="P10" s="345"/>
      <c r="Q10" s="345"/>
      <c r="R10" s="345"/>
      <c r="S10" s="714"/>
      <c r="Y10" s="600"/>
      <c r="AB10" s="716"/>
    </row>
    <row r="11" spans="1:29" ht="13" customHeight="1">
      <c r="A11" s="806" t="s">
        <v>210</v>
      </c>
      <c r="B11" s="762"/>
      <c r="C11" s="807"/>
      <c r="D11" s="825">
        <v>110036</v>
      </c>
      <c r="E11" s="825">
        <v>128601</v>
      </c>
      <c r="F11" s="808">
        <v>-14.436124135893191</v>
      </c>
      <c r="O11" s="345"/>
      <c r="P11" s="345"/>
      <c r="Q11" s="345"/>
      <c r="R11" s="345"/>
      <c r="S11" s="714"/>
      <c r="Y11" s="600"/>
      <c r="AB11" s="716"/>
    </row>
    <row r="12" spans="1:29" ht="13" customHeight="1">
      <c r="A12" s="749" t="s">
        <v>47</v>
      </c>
      <c r="B12" s="762"/>
      <c r="D12" s="824">
        <v>108899</v>
      </c>
      <c r="E12" s="824">
        <v>102223</v>
      </c>
      <c r="F12" s="753">
        <v>6.5308198741966139</v>
      </c>
      <c r="J12" s="713">
        <v>6676</v>
      </c>
      <c r="O12" s="345"/>
      <c r="P12" s="345"/>
      <c r="Q12" s="345"/>
      <c r="R12" s="345"/>
      <c r="S12" s="714"/>
      <c r="Y12" s="600"/>
      <c r="AB12" s="716"/>
    </row>
    <row r="13" spans="1:29" ht="13" customHeight="1">
      <c r="A13" s="812" t="s">
        <v>203</v>
      </c>
      <c r="B13" s="607"/>
      <c r="C13" s="807"/>
      <c r="D13" s="825">
        <v>145758</v>
      </c>
      <c r="E13" s="825">
        <v>153268</v>
      </c>
      <c r="F13" s="808">
        <v>-4.8999138763473171</v>
      </c>
      <c r="G13" s="760"/>
      <c r="O13" s="345"/>
      <c r="P13" s="345"/>
      <c r="Q13" s="345"/>
      <c r="R13" s="345"/>
      <c r="S13" s="714"/>
      <c r="Y13" s="600"/>
      <c r="AB13" s="716"/>
    </row>
    <row r="14" spans="1:29" ht="13" customHeight="1">
      <c r="A14" s="795" t="s">
        <v>48</v>
      </c>
      <c r="C14" s="793"/>
      <c r="D14" s="827">
        <v>37290</v>
      </c>
      <c r="E14" s="827">
        <v>43580</v>
      </c>
      <c r="F14" s="794">
        <v>-14.433226250573661</v>
      </c>
      <c r="G14" s="760"/>
      <c r="J14" s="713">
        <v>-6290</v>
      </c>
      <c r="O14" s="351"/>
      <c r="P14" s="351"/>
      <c r="Q14" s="351"/>
      <c r="R14" s="351"/>
      <c r="S14" s="714"/>
      <c r="T14" s="720"/>
      <c r="U14" s="721"/>
      <c r="Y14" s="600"/>
      <c r="AB14" s="716"/>
    </row>
    <row r="15" spans="1:29" ht="13" customHeight="1" thickBot="1">
      <c r="A15" s="813" t="s">
        <v>49</v>
      </c>
      <c r="B15" s="814"/>
      <c r="C15" s="815"/>
      <c r="D15" s="881">
        <v>523862</v>
      </c>
      <c r="E15" s="881">
        <v>545623</v>
      </c>
      <c r="F15" s="882">
        <v>-3.9882849513308671</v>
      </c>
      <c r="O15" s="351"/>
      <c r="P15" s="351"/>
      <c r="Q15" s="351"/>
      <c r="R15" s="351"/>
      <c r="S15" s="714"/>
      <c r="Y15" s="600"/>
      <c r="AB15" s="716"/>
    </row>
    <row r="16" spans="1:29" ht="11.15" customHeight="1">
      <c r="D16" s="840"/>
      <c r="E16" s="840"/>
      <c r="F16" s="780"/>
      <c r="G16" s="760"/>
      <c r="O16" s="345"/>
      <c r="P16" s="345"/>
      <c r="Q16" s="345"/>
      <c r="R16" s="345"/>
      <c r="S16" s="722"/>
      <c r="Y16" s="600"/>
      <c r="AB16" s="723"/>
    </row>
    <row r="17" spans="1:28" s="258" customFormat="1" ht="15" customHeight="1">
      <c r="A17" s="804" t="s">
        <v>50</v>
      </c>
      <c r="B17" s="785"/>
      <c r="C17" s="776"/>
      <c r="D17" s="841"/>
      <c r="E17" s="841"/>
      <c r="F17" s="796"/>
      <c r="G17" s="797"/>
      <c r="H17" s="757"/>
      <c r="I17" s="757"/>
      <c r="J17" s="708"/>
      <c r="K17" s="708"/>
      <c r="L17" s="708"/>
      <c r="O17" s="724"/>
      <c r="P17" s="724"/>
      <c r="Q17" s="724"/>
      <c r="R17" s="724"/>
      <c r="S17" s="722"/>
      <c r="T17" s="798"/>
      <c r="U17" s="798"/>
      <c r="V17" s="256"/>
      <c r="W17" s="256"/>
      <c r="X17" s="256"/>
      <c r="Y17" s="545"/>
      <c r="AB17" s="747"/>
    </row>
    <row r="18" spans="1:28" ht="13" customHeight="1">
      <c r="A18" s="749" t="s">
        <v>51</v>
      </c>
      <c r="B18" s="762"/>
      <c r="D18" s="883">
        <v>2186</v>
      </c>
      <c r="E18" s="883">
        <v>1912</v>
      </c>
      <c r="F18" s="844">
        <v>14.330543933054397</v>
      </c>
      <c r="G18" s="760">
        <v>76650</v>
      </c>
      <c r="O18" s="345"/>
      <c r="P18" s="345"/>
      <c r="Q18" s="345"/>
      <c r="R18" s="345"/>
      <c r="S18" s="714"/>
      <c r="T18" s="726"/>
      <c r="U18" s="726"/>
      <c r="V18" s="725"/>
      <c r="W18" s="727"/>
      <c r="Y18" s="600"/>
      <c r="AB18" s="716"/>
    </row>
    <row r="19" spans="1:28" ht="13" customHeight="1">
      <c r="A19" s="806" t="s">
        <v>52</v>
      </c>
      <c r="B19" s="762"/>
      <c r="C19" s="807"/>
      <c r="D19" s="884">
        <v>4496</v>
      </c>
      <c r="E19" s="884">
        <v>5369</v>
      </c>
      <c r="F19" s="808">
        <v>-16.260011175265412</v>
      </c>
      <c r="G19" s="760">
        <v>6682</v>
      </c>
      <c r="O19" s="351"/>
      <c r="P19" s="351"/>
      <c r="Q19" s="351"/>
      <c r="R19" s="351"/>
      <c r="S19" s="714"/>
      <c r="T19" s="725"/>
      <c r="U19" s="725"/>
      <c r="V19" s="725"/>
      <c r="W19" s="727"/>
      <c r="Y19" s="600"/>
      <c r="AB19" s="716"/>
    </row>
    <row r="20" spans="1:28" ht="13" customHeight="1">
      <c r="A20" s="749" t="s">
        <v>53</v>
      </c>
      <c r="B20" s="762"/>
      <c r="D20" s="885">
        <v>738</v>
      </c>
      <c r="E20" s="885">
        <v>976</v>
      </c>
      <c r="F20" s="753">
        <v>-24.38524590163934</v>
      </c>
      <c r="O20" s="351"/>
      <c r="P20" s="351"/>
      <c r="Q20" s="351"/>
      <c r="R20" s="351"/>
      <c r="S20" s="714"/>
      <c r="T20" s="725"/>
      <c r="U20" s="728"/>
      <c r="V20" s="728"/>
      <c r="W20" s="712"/>
      <c r="X20" s="719"/>
      <c r="Y20" s="600"/>
      <c r="AB20" s="716"/>
    </row>
    <row r="21" spans="1:28" ht="13" customHeight="1">
      <c r="A21" s="809" t="s">
        <v>54</v>
      </c>
      <c r="B21" s="762"/>
      <c r="C21" s="810"/>
      <c r="D21" s="886">
        <v>79518</v>
      </c>
      <c r="E21" s="886">
        <v>78032</v>
      </c>
      <c r="F21" s="811">
        <v>1.9043469345909392</v>
      </c>
      <c r="G21" s="760"/>
      <c r="O21" s="720"/>
      <c r="P21" s="720"/>
      <c r="Q21" s="720"/>
      <c r="R21" s="720"/>
      <c r="S21" s="714"/>
      <c r="T21" s="725"/>
      <c r="U21" s="729"/>
      <c r="V21" s="729"/>
      <c r="W21" s="712"/>
      <c r="X21" s="719"/>
      <c r="Y21" s="600"/>
      <c r="AB21" s="716"/>
    </row>
    <row r="22" spans="1:28" ht="13" customHeight="1">
      <c r="A22" s="749" t="s">
        <v>55</v>
      </c>
      <c r="B22" s="762"/>
      <c r="D22" s="885">
        <v>86938</v>
      </c>
      <c r="E22" s="885">
        <v>86289</v>
      </c>
      <c r="F22" s="753">
        <v>0.75212367740964403</v>
      </c>
      <c r="O22" s="345"/>
      <c r="P22" s="345"/>
      <c r="Q22" s="345"/>
      <c r="R22" s="345"/>
      <c r="S22" s="714"/>
      <c r="W22" s="712"/>
      <c r="X22" s="719"/>
      <c r="Y22" s="600"/>
      <c r="AB22" s="716"/>
    </row>
    <row r="23" spans="1:28" ht="13" customHeight="1">
      <c r="A23" s="812" t="s">
        <v>204</v>
      </c>
      <c r="B23" s="786"/>
      <c r="C23" s="807"/>
      <c r="D23" s="884">
        <v>121217</v>
      </c>
      <c r="E23" s="884">
        <v>123494</v>
      </c>
      <c r="F23" s="808">
        <v>-1.8438142743776975</v>
      </c>
      <c r="O23" s="345"/>
      <c r="P23" s="345"/>
      <c r="Q23" s="345"/>
      <c r="R23" s="345"/>
      <c r="S23" s="714"/>
      <c r="W23" s="712"/>
      <c r="X23" s="719"/>
      <c r="Y23" s="600"/>
      <c r="AB23" s="716"/>
    </row>
    <row r="24" spans="1:28" s="258" customFormat="1" ht="13" customHeight="1">
      <c r="A24" s="750" t="s">
        <v>56</v>
      </c>
      <c r="B24" s="762"/>
      <c r="C24" s="758"/>
      <c r="D24" s="431">
        <v>4856</v>
      </c>
      <c r="E24" s="431">
        <v>4447</v>
      </c>
      <c r="F24" s="753">
        <v>9.1972116033280926</v>
      </c>
      <c r="G24" s="757"/>
      <c r="H24" s="758"/>
      <c r="I24" s="758"/>
      <c r="O24" s="345"/>
      <c r="P24" s="345"/>
      <c r="Q24" s="345"/>
      <c r="R24" s="345"/>
      <c r="S24" s="714"/>
      <c r="W24" s="712"/>
      <c r="X24" s="719"/>
      <c r="Y24" s="600"/>
      <c r="AB24" s="716"/>
    </row>
    <row r="25" spans="1:28" s="258" customFormat="1" ht="13" customHeight="1">
      <c r="A25" s="809" t="s">
        <v>57</v>
      </c>
      <c r="B25" s="762"/>
      <c r="C25" s="810"/>
      <c r="D25" s="845">
        <v>35968</v>
      </c>
      <c r="E25" s="845">
        <v>45223</v>
      </c>
      <c r="F25" s="811">
        <v>-20.465249983415525</v>
      </c>
      <c r="G25" s="763">
        <v>-9255</v>
      </c>
      <c r="H25" s="758"/>
      <c r="I25" s="758"/>
      <c r="O25" s="345"/>
      <c r="P25" s="345"/>
      <c r="Q25" s="345"/>
      <c r="R25" s="345"/>
      <c r="S25" s="714"/>
      <c r="T25" s="730"/>
      <c r="W25" s="712"/>
      <c r="X25" s="719"/>
      <c r="Y25" s="600"/>
      <c r="AB25" s="716"/>
    </row>
    <row r="26" spans="1:28" ht="13" customHeight="1">
      <c r="A26" s="750" t="s">
        <v>58</v>
      </c>
      <c r="B26" s="762"/>
      <c r="C26" s="758"/>
      <c r="D26" s="887">
        <v>248979</v>
      </c>
      <c r="E26" s="887">
        <v>259453</v>
      </c>
      <c r="F26" s="753">
        <v>-4.0369546700173009</v>
      </c>
      <c r="O26" s="345"/>
      <c r="P26" s="345"/>
      <c r="Q26" s="345"/>
      <c r="R26" s="345"/>
      <c r="S26" s="714"/>
      <c r="W26" s="712"/>
      <c r="X26" s="719"/>
      <c r="Y26" s="600"/>
      <c r="AB26" s="716"/>
    </row>
    <row r="27" spans="1:28" ht="13" customHeight="1">
      <c r="A27" s="809" t="s">
        <v>59</v>
      </c>
      <c r="B27" s="762"/>
      <c r="C27" s="810"/>
      <c r="D27" s="886">
        <v>274883</v>
      </c>
      <c r="E27" s="886">
        <v>286170</v>
      </c>
      <c r="F27" s="811">
        <v>-3.9441590662892656</v>
      </c>
      <c r="G27" s="760"/>
      <c r="O27" s="345"/>
      <c r="P27" s="345"/>
      <c r="Q27" s="345"/>
      <c r="R27" s="345"/>
      <c r="S27" s="714"/>
      <c r="W27" s="712"/>
      <c r="X27" s="719"/>
      <c r="Y27" s="600"/>
      <c r="AB27" s="716"/>
    </row>
    <row r="28" spans="1:28" ht="13" customHeight="1" thickBot="1">
      <c r="A28" s="837" t="s">
        <v>135</v>
      </c>
      <c r="B28" s="838"/>
      <c r="C28" s="839"/>
      <c r="D28" s="888">
        <v>523862</v>
      </c>
      <c r="E28" s="888">
        <v>545623</v>
      </c>
      <c r="F28" s="890">
        <v>-3.9882849513308671</v>
      </c>
      <c r="O28" s="731"/>
      <c r="P28" s="731"/>
      <c r="Q28" s="731"/>
      <c r="R28" s="731"/>
      <c r="S28" s="714"/>
      <c r="W28" s="712"/>
      <c r="X28" s="719"/>
      <c r="Y28" s="712"/>
      <c r="AB28" s="716"/>
    </row>
    <row r="29" spans="1:28" ht="11.15" customHeight="1">
      <c r="A29" s="751"/>
      <c r="B29" s="787"/>
      <c r="C29" s="762"/>
      <c r="D29" s="764"/>
      <c r="E29" s="610"/>
      <c r="F29" s="764"/>
      <c r="O29" s="731"/>
      <c r="P29" s="731"/>
      <c r="Q29" s="731"/>
      <c r="R29" s="731"/>
      <c r="S29" s="722"/>
      <c r="W29" s="712"/>
      <c r="X29" s="719"/>
      <c r="Y29" s="255"/>
      <c r="Z29" s="255"/>
      <c r="AA29" s="255"/>
      <c r="AB29" s="732"/>
    </row>
    <row r="30" spans="1:28" s="258" customFormat="1" ht="18.75" customHeight="1">
      <c r="A30" s="547"/>
      <c r="B30" s="527"/>
      <c r="C30" s="972" t="s">
        <v>237</v>
      </c>
      <c r="D30" s="972"/>
      <c r="E30" s="527"/>
      <c r="F30" s="766"/>
      <c r="G30" s="612"/>
      <c r="H30" s="767"/>
      <c r="I30" s="768"/>
      <c r="J30" s="734"/>
      <c r="K30" s="734"/>
      <c r="L30" s="734"/>
      <c r="M30" s="735"/>
      <c r="N30" s="735"/>
      <c r="O30" s="735"/>
      <c r="P30" s="735"/>
      <c r="Q30" s="735"/>
      <c r="R30" s="735"/>
      <c r="S30" s="722"/>
    </row>
    <row r="31" spans="1:28" s="258" customFormat="1" ht="15" customHeight="1">
      <c r="A31" s="804" t="s">
        <v>209</v>
      </c>
      <c r="B31" s="614"/>
      <c r="C31" s="889" t="s">
        <v>90</v>
      </c>
      <c r="D31" s="889" t="s">
        <v>77</v>
      </c>
      <c r="E31" s="527"/>
      <c r="F31" s="527"/>
      <c r="G31" s="768"/>
      <c r="H31" s="769"/>
      <c r="I31" s="769"/>
      <c r="J31" s="736"/>
      <c r="K31" s="736"/>
      <c r="L31" s="736"/>
      <c r="M31" s="737"/>
      <c r="N31" s="737"/>
      <c r="O31" s="737"/>
      <c r="P31" s="737"/>
      <c r="Q31" s="737"/>
      <c r="R31" s="737"/>
      <c r="S31" s="722"/>
    </row>
    <row r="32" spans="1:28" ht="13" customHeight="1">
      <c r="A32" s="547" t="s">
        <v>78</v>
      </c>
      <c r="B32" s="527"/>
      <c r="C32" s="791"/>
      <c r="D32" s="615"/>
      <c r="E32" s="500"/>
      <c r="F32" s="500"/>
      <c r="G32" s="611"/>
      <c r="H32" s="504"/>
      <c r="I32" s="504"/>
      <c r="J32" s="344"/>
      <c r="K32" s="344"/>
      <c r="L32" s="344"/>
      <c r="M32" s="545"/>
      <c r="N32" s="545"/>
      <c r="O32" s="545"/>
      <c r="P32" s="545"/>
      <c r="Q32" s="545"/>
      <c r="R32" s="545"/>
      <c r="S32" s="722"/>
    </row>
    <row r="33" spans="1:27" ht="13" customHeight="1">
      <c r="A33" s="831" t="s">
        <v>211</v>
      </c>
      <c r="B33" s="557"/>
      <c r="C33" s="832">
        <v>0.46149287427525609</v>
      </c>
      <c r="D33" s="832">
        <v>7.8038884453108692E-2</v>
      </c>
      <c r="E33" s="500"/>
      <c r="F33" s="500"/>
      <c r="G33" s="611"/>
      <c r="H33" s="503"/>
      <c r="I33" s="771"/>
      <c r="J33" s="738"/>
      <c r="K33" s="738"/>
      <c r="L33" s="738"/>
      <c r="M33" s="545"/>
      <c r="N33" s="545"/>
      <c r="O33" s="545"/>
      <c r="P33" s="545"/>
      <c r="Q33" s="545"/>
      <c r="R33" s="545"/>
      <c r="S33" s="722"/>
    </row>
    <row r="34" spans="1:27" ht="13" customHeight="1">
      <c r="A34" s="833" t="s">
        <v>213</v>
      </c>
      <c r="B34" s="557"/>
      <c r="C34" s="770">
        <v>8.1646730512604203E-3</v>
      </c>
      <c r="D34" s="770">
        <v>3.2974991748277352E-2</v>
      </c>
      <c r="E34" s="500"/>
      <c r="F34" s="500"/>
      <c r="G34" s="611"/>
      <c r="H34" s="503"/>
      <c r="I34" s="771"/>
      <c r="J34" s="738"/>
      <c r="K34" s="738"/>
      <c r="L34" s="738"/>
      <c r="M34" s="545"/>
      <c r="N34" s="545"/>
      <c r="O34" s="545"/>
      <c r="P34" s="545"/>
      <c r="Q34" s="545"/>
      <c r="R34" s="545"/>
      <c r="S34" s="722"/>
    </row>
    <row r="35" spans="1:27" ht="13" customHeight="1">
      <c r="A35" s="831" t="s">
        <v>212</v>
      </c>
      <c r="B35" s="557"/>
      <c r="C35" s="832">
        <v>0.15579879277831496</v>
      </c>
      <c r="D35" s="832">
        <v>1.7500000000000002E-2</v>
      </c>
      <c r="E35" s="500"/>
      <c r="F35" s="500"/>
      <c r="G35" s="611"/>
      <c r="H35" s="503"/>
      <c r="I35" s="771"/>
      <c r="J35" s="738"/>
      <c r="K35" s="738"/>
      <c r="L35" s="738"/>
      <c r="M35" s="545"/>
      <c r="N35" s="545"/>
      <c r="O35" s="545"/>
      <c r="P35" s="545"/>
      <c r="Q35" s="545"/>
      <c r="R35" s="545"/>
      <c r="S35" s="722"/>
    </row>
    <row r="36" spans="1:27" ht="13" customHeight="1">
      <c r="A36" s="833" t="s">
        <v>215</v>
      </c>
      <c r="B36" s="557"/>
      <c r="C36" s="770">
        <v>1.8605583012840803E-2</v>
      </c>
      <c r="D36" s="770">
        <v>8.8106152778745853E-2</v>
      </c>
      <c r="E36" s="500"/>
      <c r="F36" s="500"/>
      <c r="G36" s="611"/>
      <c r="H36" s="503"/>
      <c r="I36" s="771"/>
      <c r="J36" s="738"/>
      <c r="K36" s="738"/>
      <c r="L36" s="738"/>
      <c r="M36" s="545"/>
      <c r="N36" s="545"/>
      <c r="O36" s="545"/>
      <c r="P36" s="545"/>
      <c r="Q36" s="545"/>
      <c r="R36" s="545"/>
      <c r="S36" s="722"/>
    </row>
    <row r="37" spans="1:27" ht="13" customHeight="1">
      <c r="A37" s="831" t="s">
        <v>214</v>
      </c>
      <c r="B37" s="557"/>
      <c r="C37" s="832">
        <v>8.1541884099995798E-4</v>
      </c>
      <c r="D37" s="832">
        <v>0.22400000000000003</v>
      </c>
      <c r="E37" s="500"/>
      <c r="F37" s="500"/>
      <c r="G37" s="768"/>
      <c r="H37" s="503"/>
      <c r="I37" s="771"/>
      <c r="J37" s="738"/>
      <c r="K37" s="738"/>
      <c r="L37" s="738"/>
      <c r="M37" s="545"/>
      <c r="N37" s="545"/>
      <c r="O37" s="545"/>
      <c r="P37" s="545"/>
      <c r="Q37" s="545"/>
      <c r="R37" s="545"/>
      <c r="Z37" s="345"/>
      <c r="AA37" s="254"/>
    </row>
    <row r="38" spans="1:27" s="258" customFormat="1" ht="13" customHeight="1">
      <c r="A38" s="833" t="s">
        <v>217</v>
      </c>
      <c r="B38" s="557"/>
      <c r="C38" s="770">
        <v>0.3198755277595503</v>
      </c>
      <c r="D38" s="770">
        <v>0.10019870250868905</v>
      </c>
      <c r="E38" s="500"/>
      <c r="F38" s="500"/>
      <c r="G38" s="611"/>
      <c r="H38" s="503"/>
      <c r="I38" s="771"/>
      <c r="J38" s="738"/>
      <c r="K38" s="738"/>
      <c r="L38" s="738"/>
      <c r="M38" s="545"/>
      <c r="N38" s="545"/>
      <c r="O38" s="545"/>
      <c r="P38" s="545"/>
      <c r="Q38" s="545"/>
      <c r="R38" s="545"/>
      <c r="S38" s="741"/>
    </row>
    <row r="39" spans="1:27" s="258" customFormat="1" ht="13" customHeight="1">
      <c r="A39" s="834" t="s">
        <v>216</v>
      </c>
      <c r="B39" s="835"/>
      <c r="C39" s="836">
        <v>3.5247130281777332E-2</v>
      </c>
      <c r="D39" s="836">
        <v>5.8074003953936193E-2</v>
      </c>
      <c r="E39" s="500"/>
      <c r="F39" s="500"/>
      <c r="G39" s="611"/>
      <c r="H39" s="503"/>
      <c r="I39" s="771"/>
      <c r="J39" s="738"/>
      <c r="K39" s="738"/>
      <c r="L39" s="738"/>
      <c r="M39" s="545"/>
      <c r="N39" s="545"/>
      <c r="O39" s="545"/>
      <c r="P39" s="545"/>
      <c r="Q39" s="545"/>
      <c r="R39" s="545"/>
      <c r="S39" s="741"/>
    </row>
    <row r="40" spans="1:27" s="258" customFormat="1" ht="13" customHeight="1" thickBot="1">
      <c r="A40" s="802" t="s">
        <v>79</v>
      </c>
      <c r="B40" s="803"/>
      <c r="C40" s="828">
        <v>0.99999999999999978</v>
      </c>
      <c r="D40" s="828">
        <v>7.493007298060185E-2</v>
      </c>
      <c r="E40" s="500"/>
      <c r="F40" s="500"/>
      <c r="G40" s="611"/>
      <c r="H40" s="503"/>
      <c r="I40" s="772"/>
      <c r="J40" s="742"/>
      <c r="K40" s="742"/>
      <c r="L40" s="742"/>
      <c r="M40" s="545"/>
      <c r="N40" s="545"/>
      <c r="O40" s="545"/>
      <c r="P40" s="545"/>
      <c r="Q40" s="545"/>
      <c r="R40" s="545"/>
      <c r="S40" s="741"/>
    </row>
    <row r="41" spans="1:27" s="258" customFormat="1" ht="11.15" customHeight="1">
      <c r="A41" s="799"/>
      <c r="B41" s="527"/>
      <c r="C41" s="800"/>
      <c r="D41" s="522"/>
      <c r="E41" s="500"/>
      <c r="F41" s="500"/>
      <c r="G41" s="611"/>
      <c r="H41" s="612"/>
      <c r="I41" s="768"/>
      <c r="J41" s="739"/>
      <c r="K41" s="739"/>
      <c r="L41" s="739"/>
      <c r="M41" s="545"/>
      <c r="N41" s="545"/>
      <c r="O41" s="545"/>
      <c r="P41" s="545"/>
      <c r="Q41" s="545"/>
      <c r="R41" s="545"/>
      <c r="S41" s="741"/>
    </row>
    <row r="42" spans="1:27" s="258" customFormat="1" ht="13" customHeight="1">
      <c r="A42" s="547" t="s">
        <v>205</v>
      </c>
      <c r="B42" s="527"/>
      <c r="C42" s="829">
        <v>0.71983555941466904</v>
      </c>
      <c r="D42" s="522"/>
      <c r="E42" s="500"/>
      <c r="F42" s="500"/>
      <c r="G42" s="611"/>
      <c r="H42" s="503"/>
      <c r="I42" s="771"/>
      <c r="J42" s="738"/>
      <c r="K42" s="738"/>
      <c r="L42" s="738"/>
      <c r="M42" s="545"/>
      <c r="N42" s="545"/>
      <c r="O42" s="545"/>
      <c r="P42" s="545"/>
      <c r="Q42" s="545"/>
      <c r="R42" s="545"/>
      <c r="S42" s="743"/>
    </row>
    <row r="43" spans="1:27" s="258" customFormat="1" ht="13" customHeight="1" thickBot="1">
      <c r="A43" s="802" t="s">
        <v>206</v>
      </c>
      <c r="B43" s="803"/>
      <c r="C43" s="830">
        <v>0.28016444058533096</v>
      </c>
      <c r="D43" s="522"/>
      <c r="E43" s="500"/>
      <c r="F43" s="500"/>
      <c r="G43" s="611"/>
      <c r="H43" s="503"/>
      <c r="I43" s="771"/>
      <c r="J43" s="738"/>
      <c r="K43" s="738"/>
      <c r="L43" s="738"/>
      <c r="M43" s="545"/>
      <c r="N43" s="545"/>
      <c r="O43" s="545"/>
      <c r="P43" s="545"/>
      <c r="Q43" s="545"/>
      <c r="R43" s="545"/>
      <c r="S43" s="743"/>
    </row>
    <row r="44" spans="1:27" s="258" customFormat="1" ht="11.15" customHeight="1">
      <c r="A44" s="548"/>
      <c r="B44" s="527"/>
      <c r="C44" s="500"/>
      <c r="D44" s="500"/>
      <c r="E44" s="500"/>
      <c r="F44" s="500"/>
      <c r="G44" s="611"/>
      <c r="H44" s="611"/>
      <c r="I44" s="611"/>
      <c r="J44" s="599"/>
      <c r="K44" s="599"/>
      <c r="L44" s="599"/>
      <c r="M44" s="600"/>
      <c r="N44" s="600"/>
      <c r="O44" s="600"/>
      <c r="P44" s="600"/>
      <c r="Q44" s="600"/>
      <c r="R44" s="600"/>
      <c r="S44" s="741"/>
    </row>
    <row r="45" spans="1:27" s="258" customFormat="1" ht="11.15" customHeight="1">
      <c r="A45" s="548"/>
      <c r="B45" s="527"/>
      <c r="C45" s="500"/>
      <c r="D45" s="500"/>
      <c r="E45" s="500"/>
      <c r="F45" s="500"/>
      <c r="G45" s="611"/>
      <c r="H45" s="611"/>
      <c r="I45" s="611"/>
      <c r="J45" s="599"/>
      <c r="K45" s="599"/>
      <c r="L45" s="599"/>
      <c r="M45" s="600"/>
      <c r="N45" s="600"/>
      <c r="O45" s="600"/>
      <c r="P45" s="600"/>
      <c r="Q45" s="600"/>
      <c r="R45" s="600"/>
      <c r="S45" s="741"/>
    </row>
    <row r="46" spans="1:27" s="258" customFormat="1" ht="15" customHeight="1">
      <c r="A46" s="784" t="s">
        <v>227</v>
      </c>
      <c r="B46" s="788"/>
      <c r="C46" s="805">
        <v>2017</v>
      </c>
      <c r="D46" s="805">
        <v>2018</v>
      </c>
      <c r="E46" s="805">
        <v>2019</v>
      </c>
      <c r="F46" s="805">
        <v>2020</v>
      </c>
      <c r="G46" s="805">
        <v>2021</v>
      </c>
      <c r="H46" s="805" t="s">
        <v>170</v>
      </c>
      <c r="I46" s="503"/>
      <c r="J46" s="792"/>
      <c r="K46" s="792"/>
      <c r="L46" s="792"/>
      <c r="S46" s="741"/>
    </row>
    <row r="47" spans="1:27" s="745" customFormat="1" ht="13" customHeight="1" thickBot="1">
      <c r="A47" s="871" t="s">
        <v>80</v>
      </c>
      <c r="B47" s="801"/>
      <c r="C47" s="830">
        <v>2.9910885461014929E-2</v>
      </c>
      <c r="D47" s="830">
        <v>0.17444093717380421</v>
      </c>
      <c r="E47" s="830">
        <v>5.4937975253296335E-2</v>
      </c>
      <c r="F47" s="830">
        <v>8.4865938202581218E-2</v>
      </c>
      <c r="G47" s="830">
        <v>5.2980538859082368E-2</v>
      </c>
      <c r="H47" s="830">
        <v>0.6028637250502209</v>
      </c>
      <c r="I47" s="773"/>
      <c r="J47" s="744"/>
      <c r="K47" s="744"/>
      <c r="L47" s="744"/>
      <c r="S47" s="746"/>
    </row>
    <row r="48" spans="1:27" s="745" customFormat="1">
      <c r="A48" s="875"/>
      <c r="B48" s="876"/>
      <c r="C48" s="829"/>
      <c r="D48" s="829"/>
      <c r="E48" s="829"/>
      <c r="F48" s="829"/>
      <c r="G48" s="829"/>
      <c r="H48" s="829"/>
      <c r="I48" s="773"/>
      <c r="J48" s="744"/>
      <c r="K48" s="744"/>
      <c r="L48" s="744"/>
      <c r="S48" s="746"/>
    </row>
    <row r="49" spans="1:19" s="258" customFormat="1" ht="11.15" customHeight="1">
      <c r="A49" s="752"/>
      <c r="B49" s="758"/>
      <c r="C49" s="774"/>
      <c r="D49" s="758"/>
      <c r="E49" s="758"/>
      <c r="F49" s="775"/>
      <c r="G49" s="757"/>
      <c r="H49" s="757"/>
      <c r="I49" s="757"/>
      <c r="J49" s="708"/>
      <c r="K49" s="708"/>
      <c r="L49" s="708"/>
      <c r="S49" s="741"/>
    </row>
    <row r="50" spans="1:19" ht="11.15" customHeight="1">
      <c r="A50" s="971" t="s">
        <v>207</v>
      </c>
      <c r="B50" s="971"/>
      <c r="C50" s="971"/>
      <c r="D50" s="971"/>
      <c r="E50" s="971"/>
      <c r="F50" s="971"/>
      <c r="H50" s="765"/>
      <c r="I50" s="765"/>
      <c r="J50" s="733"/>
      <c r="K50" s="733"/>
      <c r="L50" s="733"/>
      <c r="M50" s="731"/>
      <c r="N50" s="731"/>
      <c r="O50" s="731"/>
      <c r="P50" s="731"/>
      <c r="Q50" s="731"/>
      <c r="R50" s="731"/>
      <c r="S50" s="722"/>
    </row>
    <row r="51" spans="1:19" ht="11.15" customHeight="1">
      <c r="A51" s="969" t="s">
        <v>208</v>
      </c>
      <c r="B51" s="969"/>
      <c r="C51" s="969"/>
      <c r="D51" s="969"/>
      <c r="E51" s="969"/>
      <c r="F51" s="969"/>
      <c r="G51" s="969"/>
      <c r="H51" s="969"/>
      <c r="I51" s="765"/>
      <c r="J51" s="733"/>
      <c r="K51" s="733"/>
      <c r="L51" s="733"/>
      <c r="M51" s="731"/>
      <c r="N51" s="731"/>
      <c r="O51" s="731"/>
      <c r="P51" s="731"/>
      <c r="Q51" s="731"/>
      <c r="R51" s="731"/>
      <c r="S51" s="722"/>
    </row>
    <row r="52" spans="1:19" s="258" customFormat="1" ht="11.15" customHeight="1">
      <c r="A52" s="752"/>
      <c r="B52" s="758"/>
      <c r="C52" s="758"/>
      <c r="D52" s="758"/>
      <c r="E52" s="758"/>
      <c r="F52" s="758"/>
      <c r="G52" s="757"/>
      <c r="H52" s="757"/>
      <c r="I52" s="757"/>
      <c r="J52" s="708"/>
      <c r="K52" s="708"/>
      <c r="L52" s="708"/>
      <c r="S52" s="741"/>
    </row>
    <row r="53" spans="1:19" s="258" customFormat="1" ht="11.15" customHeight="1">
      <c r="A53" s="752"/>
      <c r="B53" s="758"/>
      <c r="C53" s="758"/>
      <c r="D53" s="758"/>
      <c r="E53" s="758"/>
      <c r="F53" s="758"/>
      <c r="G53" s="757"/>
      <c r="H53" s="757"/>
      <c r="I53" s="757"/>
      <c r="J53" s="708"/>
      <c r="K53" s="708"/>
      <c r="L53" s="708"/>
      <c r="S53" s="741"/>
    </row>
    <row r="54" spans="1:19" s="258" customFormat="1" ht="11.15" customHeight="1">
      <c r="A54" s="752"/>
      <c r="B54" s="776"/>
      <c r="C54" s="754"/>
      <c r="D54" s="754"/>
      <c r="E54" s="754"/>
      <c r="F54" s="754"/>
      <c r="G54" s="757"/>
      <c r="H54" s="757"/>
      <c r="I54" s="757"/>
      <c r="J54" s="708"/>
      <c r="K54" s="708"/>
      <c r="L54" s="708"/>
      <c r="S54" s="741"/>
    </row>
    <row r="55" spans="1:19" s="258" customFormat="1" ht="11.15" customHeight="1">
      <c r="A55" s="752"/>
      <c r="B55" s="776"/>
      <c r="C55" s="770"/>
      <c r="D55" s="615"/>
      <c r="E55" s="615"/>
      <c r="F55" s="615"/>
      <c r="G55" s="757"/>
      <c r="H55" s="757"/>
      <c r="I55" s="757"/>
      <c r="J55" s="708"/>
      <c r="K55" s="708"/>
      <c r="L55" s="708"/>
      <c r="S55" s="741"/>
    </row>
    <row r="56" spans="1:19" ht="11.15" customHeight="1">
      <c r="A56" s="752"/>
      <c r="B56" s="787"/>
      <c r="C56" s="777"/>
      <c r="D56" s="778"/>
      <c r="E56" s="778"/>
      <c r="F56" s="778"/>
    </row>
    <row r="57" spans="1:19" ht="11.15" customHeight="1">
      <c r="A57" s="752"/>
      <c r="B57" s="787"/>
    </row>
    <row r="58" spans="1:19" ht="11.15" customHeight="1">
      <c r="A58" s="752"/>
    </row>
    <row r="59" spans="1:19" ht="11.15" customHeight="1">
      <c r="A59" s="752"/>
      <c r="E59" s="779"/>
      <c r="F59" s="780"/>
    </row>
    <row r="60" spans="1:19" ht="11.15" customHeight="1">
      <c r="A60" s="752"/>
      <c r="C60" s="781"/>
      <c r="D60" s="781"/>
      <c r="F60" s="782"/>
    </row>
    <row r="61" spans="1:19" ht="11.15" customHeight="1">
      <c r="A61" s="752"/>
      <c r="D61" s="781"/>
      <c r="F61" s="783"/>
    </row>
    <row r="62" spans="1:19" ht="11.15" customHeight="1">
      <c r="F62" s="761"/>
    </row>
    <row r="63" spans="1:19" ht="11.15" customHeight="1">
      <c r="D63" s="782"/>
      <c r="F63" s="782"/>
    </row>
    <row r="64" spans="1:19" ht="11.15" customHeight="1"/>
    <row r="65" spans="3:3" ht="11.15" customHeight="1"/>
    <row r="66" spans="3:3" ht="11.15" customHeight="1"/>
    <row r="67" spans="3:3" ht="11.15" customHeight="1"/>
    <row r="68" spans="3:3" ht="11.15" customHeight="1">
      <c r="C68" s="616"/>
    </row>
  </sheetData>
  <mergeCells count="6">
    <mergeCell ref="A51:H51"/>
    <mergeCell ref="A1:H1"/>
    <mergeCell ref="A2:H2"/>
    <mergeCell ref="A3:H3"/>
    <mergeCell ref="A50:F50"/>
    <mergeCell ref="C30:D30"/>
  </mergeCells>
  <pageMargins left="0.19685039370078741" right="0.31496062992125984" top="0.78740157480314965" bottom="0.23622047244094491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 sizeWithCells="1">
              <from>
                <xdr:col>6</xdr:col>
                <xdr:colOff>0</xdr:colOff>
                <xdr:row>36</xdr:row>
                <xdr:rowOff>0</xdr:rowOff>
              </from>
              <to>
                <xdr:col>6</xdr:col>
                <xdr:colOff>0</xdr:colOff>
                <xdr:row>36</xdr:row>
                <xdr:rowOff>0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77"/>
  <sheetViews>
    <sheetView showGridLines="0" view="pageBreakPreview" topLeftCell="A5" zoomScale="110" zoomScaleSheetLayoutView="110" workbookViewId="0">
      <selection activeCell="E33" sqref="E33"/>
    </sheetView>
  </sheetViews>
  <sheetFormatPr defaultColWidth="9.81640625" defaultRowHeight="15.5" outlineLevelRow="1"/>
  <cols>
    <col min="1" max="1" width="63.26953125" style="2" bestFit="1" customWidth="1"/>
    <col min="2" max="2" width="1.453125" style="6" customWidth="1"/>
    <col min="3" max="3" width="10.7265625" style="2" customWidth="1"/>
    <col min="4" max="4" width="12.26953125" style="2" customWidth="1"/>
    <col min="5" max="5" width="10.7265625" style="2" customWidth="1"/>
    <col min="6" max="6" width="10.54296875" style="6" hidden="1" customWidth="1"/>
    <col min="7" max="7" width="49" style="2" hidden="1" customWidth="1"/>
    <col min="8" max="8" width="16.453125" style="2" customWidth="1"/>
    <col min="9" max="9" width="13.1796875" style="2" customWidth="1"/>
    <col min="10" max="10" width="22.453125" style="2" customWidth="1"/>
    <col min="11" max="11" width="9.81640625" style="2" customWidth="1"/>
    <col min="12" max="12" width="5" style="2" customWidth="1"/>
    <col min="13" max="13" width="5.1796875" style="2" customWidth="1"/>
    <col min="14" max="16384" width="9.81640625" style="2"/>
  </cols>
  <sheetData>
    <row r="1" spans="1:17" ht="39" customHeight="1">
      <c r="A1" s="973" t="s">
        <v>0</v>
      </c>
      <c r="B1" s="973"/>
      <c r="C1" s="973"/>
      <c r="D1" s="973"/>
      <c r="E1" s="973"/>
      <c r="F1" s="973"/>
      <c r="G1" s="973"/>
      <c r="I1" s="3"/>
      <c r="J1" s="3"/>
      <c r="K1" s="3"/>
    </row>
    <row r="2" spans="1:17" ht="15" customHeight="1">
      <c r="A2" s="974" t="s">
        <v>1</v>
      </c>
      <c r="B2" s="974"/>
      <c r="C2" s="974"/>
      <c r="D2" s="974"/>
      <c r="E2" s="974"/>
      <c r="F2" s="974"/>
      <c r="G2" s="974"/>
      <c r="H2" s="4"/>
      <c r="I2" s="5"/>
      <c r="J2" s="5"/>
      <c r="K2" s="5"/>
    </row>
    <row r="3" spans="1:17" ht="15" customHeight="1">
      <c r="A3" s="975" t="s">
        <v>67</v>
      </c>
      <c r="B3" s="975"/>
      <c r="C3" s="975"/>
      <c r="D3" s="975"/>
      <c r="E3" s="975"/>
      <c r="F3" s="975"/>
      <c r="G3" s="975"/>
      <c r="H3" s="4"/>
      <c r="I3" s="5"/>
      <c r="J3" s="5"/>
      <c r="K3" s="5"/>
    </row>
    <row r="4" spans="1:17" ht="18">
      <c r="A4" s="976" t="s">
        <v>3</v>
      </c>
      <c r="B4" s="976"/>
      <c r="C4" s="976"/>
      <c r="D4" s="976"/>
      <c r="E4" s="976"/>
      <c r="F4" s="976"/>
      <c r="G4" s="4"/>
      <c r="H4" s="4"/>
      <c r="I4" s="4"/>
      <c r="J4" s="4"/>
      <c r="K4" s="4"/>
      <c r="L4" s="4"/>
      <c r="M4" s="4"/>
      <c r="N4" s="6"/>
    </row>
    <row r="5" spans="1:17">
      <c r="A5" s="7"/>
      <c r="B5" s="8"/>
      <c r="C5" s="7"/>
      <c r="D5" s="7"/>
      <c r="E5" s="7"/>
      <c r="F5" s="8"/>
      <c r="G5" s="7"/>
      <c r="H5" s="8"/>
      <c r="I5" s="9"/>
      <c r="J5" s="9"/>
      <c r="K5" s="10"/>
    </row>
    <row r="6" spans="1:17">
      <c r="A6" s="11"/>
      <c r="B6" s="11"/>
      <c r="C6" s="977" t="s">
        <v>136</v>
      </c>
      <c r="D6" s="977"/>
      <c r="E6" s="977"/>
      <c r="F6" s="12"/>
      <c r="G6" s="158"/>
      <c r="H6" s="6"/>
      <c r="I6" s="13"/>
      <c r="J6" s="13"/>
      <c r="K6" s="6"/>
    </row>
    <row r="7" spans="1:17" hidden="1">
      <c r="A7" s="11"/>
      <c r="B7" s="11"/>
      <c r="C7" s="157"/>
      <c r="D7" s="157"/>
      <c r="E7" s="157"/>
      <c r="F7" s="12"/>
      <c r="G7" s="158"/>
      <c r="H7" s="6"/>
      <c r="I7" s="13"/>
      <c r="J7" s="13"/>
      <c r="K7" s="6"/>
    </row>
    <row r="8" spans="1:17" ht="28.5">
      <c r="A8" s="14"/>
      <c r="B8" s="15"/>
      <c r="C8" s="91" t="s">
        <v>138</v>
      </c>
      <c r="D8" s="90" t="s">
        <v>39</v>
      </c>
      <c r="E8" s="91" t="s">
        <v>139</v>
      </c>
      <c r="F8" s="17" t="s">
        <v>4</v>
      </c>
      <c r="G8" s="158"/>
      <c r="H8" s="19"/>
      <c r="I8" s="18"/>
      <c r="J8" s="18"/>
      <c r="K8" s="18"/>
      <c r="P8" s="20"/>
      <c r="Q8" s="20"/>
    </row>
    <row r="9" spans="1:17" ht="15.75" hidden="1" customHeight="1">
      <c r="A9" s="21"/>
      <c r="B9" s="21"/>
      <c r="C9" s="22"/>
      <c r="D9" s="22"/>
      <c r="E9" s="23"/>
      <c r="F9" s="24"/>
      <c r="G9" s="4"/>
      <c r="H9" s="25"/>
      <c r="I9" s="26"/>
      <c r="J9" s="26"/>
      <c r="K9" s="23"/>
    </row>
    <row r="10" spans="1:17" ht="15.75" hidden="1" customHeight="1">
      <c r="A10" s="27"/>
      <c r="B10" s="21"/>
      <c r="C10" s="28"/>
      <c r="D10" s="28"/>
      <c r="E10" s="29"/>
      <c r="F10" s="24"/>
      <c r="G10" s="158"/>
      <c r="H10" s="25"/>
      <c r="I10" s="26"/>
      <c r="J10" s="26"/>
      <c r="K10" s="23"/>
      <c r="L10" s="20"/>
      <c r="M10" s="20"/>
      <c r="N10" s="30"/>
    </row>
    <row r="11" spans="1:17">
      <c r="A11" s="25" t="s">
        <v>5</v>
      </c>
      <c r="B11" s="25"/>
      <c r="C11" s="143">
        <v>224020</v>
      </c>
      <c r="D11" s="31"/>
      <c r="E11" s="164">
        <f>+C11+D11</f>
        <v>224020</v>
      </c>
      <c r="F11" s="32">
        <f>((+E11/E$11)*100)</f>
        <v>100</v>
      </c>
      <c r="G11" s="31"/>
      <c r="H11" s="25"/>
      <c r="I11" s="26"/>
      <c r="J11" s="26"/>
      <c r="K11" s="23"/>
      <c r="L11" s="20"/>
      <c r="M11" s="20"/>
      <c r="N11" s="30"/>
    </row>
    <row r="12" spans="1:17">
      <c r="A12" s="34" t="s">
        <v>6</v>
      </c>
      <c r="B12" s="25"/>
      <c r="C12" s="153">
        <v>142916</v>
      </c>
      <c r="D12" s="39"/>
      <c r="E12" s="165">
        <f t="shared" ref="E12:E33" si="0">+C12+D12</f>
        <v>142916</v>
      </c>
      <c r="F12" s="35">
        <f>F11-F13</f>
        <v>63.8</v>
      </c>
      <c r="G12" s="31"/>
      <c r="H12" s="25"/>
      <c r="I12" s="26"/>
      <c r="J12" s="26"/>
      <c r="K12" s="23"/>
    </row>
    <row r="13" spans="1:17">
      <c r="A13" s="34" t="s">
        <v>7</v>
      </c>
      <c r="B13" s="25"/>
      <c r="C13" s="153">
        <f>C11-C12</f>
        <v>81104</v>
      </c>
      <c r="D13" s="39">
        <f>+D11-D12</f>
        <v>0</v>
      </c>
      <c r="E13" s="165">
        <f t="shared" si="0"/>
        <v>81104</v>
      </c>
      <c r="F13" s="35">
        <f>ROUND(((+E13/E$11)*100),1)</f>
        <v>36.200000000000003</v>
      </c>
      <c r="G13" s="31"/>
      <c r="H13" s="25"/>
      <c r="I13" s="26"/>
      <c r="J13" s="26"/>
      <c r="K13" s="23"/>
    </row>
    <row r="14" spans="1:17">
      <c r="A14" s="44" t="s">
        <v>34</v>
      </c>
      <c r="B14" s="21"/>
      <c r="C14" s="143">
        <v>8094</v>
      </c>
      <c r="D14" s="31">
        <v>-1</v>
      </c>
      <c r="E14" s="164">
        <f t="shared" si="0"/>
        <v>8093</v>
      </c>
      <c r="F14" s="32">
        <f>ROUND(((+E14/E$11)*100),1)</f>
        <v>3.6</v>
      </c>
      <c r="G14" s="31"/>
      <c r="H14" s="25"/>
      <c r="I14" s="26"/>
      <c r="J14" s="26"/>
      <c r="K14" s="23"/>
    </row>
    <row r="15" spans="1:17">
      <c r="A15" s="44" t="s">
        <v>35</v>
      </c>
      <c r="B15" s="21"/>
      <c r="C15" s="143">
        <v>54445</v>
      </c>
      <c r="D15" s="65"/>
      <c r="E15" s="164">
        <f t="shared" si="0"/>
        <v>54445</v>
      </c>
      <c r="F15" s="32">
        <f>F16-F14</f>
        <v>-3.6</v>
      </c>
      <c r="G15" s="31"/>
      <c r="H15" s="25"/>
      <c r="I15" s="26"/>
      <c r="J15" s="26"/>
      <c r="K15" s="40"/>
    </row>
    <row r="16" spans="1:17" s="112" customFormat="1" outlineLevel="1">
      <c r="A16" s="25" t="s">
        <v>74</v>
      </c>
      <c r="B16" s="25"/>
      <c r="C16" s="143">
        <v>11</v>
      </c>
      <c r="D16" s="31"/>
      <c r="E16" s="164">
        <f>+C16+D16</f>
        <v>11</v>
      </c>
      <c r="F16" s="88"/>
      <c r="G16" s="115"/>
      <c r="H16" s="170"/>
      <c r="I16" s="110"/>
      <c r="J16" s="111"/>
      <c r="K16" s="110"/>
    </row>
    <row r="17" spans="1:14" outlineLevel="1">
      <c r="A17" s="25" t="s">
        <v>69</v>
      </c>
      <c r="B17" s="25"/>
      <c r="C17" s="143">
        <v>-131</v>
      </c>
      <c r="D17" s="143"/>
      <c r="E17" s="164">
        <f>+C17+D17</f>
        <v>-131</v>
      </c>
      <c r="F17" s="32"/>
      <c r="G17" s="31"/>
      <c r="H17" s="41"/>
      <c r="I17" s="23"/>
      <c r="J17" s="42"/>
      <c r="K17" s="23"/>
    </row>
    <row r="18" spans="1:14">
      <c r="A18" s="25" t="s">
        <v>75</v>
      </c>
      <c r="C18" s="103">
        <f>+C17-C16</f>
        <v>-142</v>
      </c>
      <c r="D18" s="171">
        <f>+D17-D16</f>
        <v>0</v>
      </c>
      <c r="E18" s="171">
        <f>+C18+D18</f>
        <v>-142</v>
      </c>
      <c r="F18" s="32"/>
      <c r="G18" s="31"/>
      <c r="H18" s="42"/>
      <c r="I18" s="23"/>
      <c r="J18" s="42"/>
      <c r="K18" s="23"/>
    </row>
    <row r="19" spans="1:14" s="76" customFormat="1">
      <c r="A19" s="124" t="s">
        <v>71</v>
      </c>
      <c r="B19" s="125"/>
      <c r="C19" s="145">
        <f>C13-C14-C15-C18</f>
        <v>18707</v>
      </c>
      <c r="D19" s="145">
        <f>D13-D14-D15-D18</f>
        <v>1</v>
      </c>
      <c r="E19" s="166">
        <f t="shared" si="0"/>
        <v>18708</v>
      </c>
      <c r="F19" s="123">
        <f>ROUND(((+E19/E$11)*100),1)</f>
        <v>8.4</v>
      </c>
      <c r="G19" s="115"/>
      <c r="H19" s="114"/>
      <c r="I19" s="118"/>
      <c r="J19" s="118"/>
      <c r="K19" s="119"/>
    </row>
    <row r="20" spans="1:14">
      <c r="A20" s="46" t="s">
        <v>70</v>
      </c>
      <c r="B20" s="44"/>
      <c r="C20" s="212">
        <v>-1079</v>
      </c>
      <c r="D20" s="209"/>
      <c r="E20" s="167">
        <f t="shared" si="0"/>
        <v>-1079</v>
      </c>
      <c r="F20" s="45"/>
      <c r="G20" s="31"/>
      <c r="H20" s="253">
        <f>+C20+C17</f>
        <v>-1210</v>
      </c>
      <c r="I20" s="26"/>
      <c r="J20" s="26"/>
      <c r="K20" s="23"/>
    </row>
    <row r="21" spans="1:14">
      <c r="A21" s="21" t="s">
        <v>8</v>
      </c>
      <c r="B21" s="21"/>
      <c r="C21" s="151">
        <v>5797</v>
      </c>
      <c r="D21" s="48"/>
      <c r="E21" s="168">
        <f t="shared" si="0"/>
        <v>5797</v>
      </c>
      <c r="F21" s="87"/>
      <c r="G21" s="31"/>
      <c r="H21" s="6"/>
      <c r="I21" s="6"/>
      <c r="J21" s="6"/>
      <c r="K21" s="6"/>
      <c r="M21" s="20"/>
      <c r="N21" s="30"/>
    </row>
    <row r="22" spans="1:14">
      <c r="A22" s="27" t="s">
        <v>9</v>
      </c>
      <c r="B22" s="21"/>
      <c r="C22" s="150">
        <v>636</v>
      </c>
      <c r="D22" s="47"/>
      <c r="E22" s="167">
        <f t="shared" si="0"/>
        <v>636</v>
      </c>
      <c r="F22" s="35"/>
      <c r="G22" s="31"/>
      <c r="H22" s="19"/>
      <c r="I22" s="49"/>
      <c r="J22" s="49"/>
      <c r="K22" s="23"/>
      <c r="L22" s="20"/>
      <c r="M22" s="20"/>
      <c r="N22" s="30"/>
    </row>
    <row r="23" spans="1:14">
      <c r="A23" s="21" t="s">
        <v>10</v>
      </c>
      <c r="B23" s="21"/>
      <c r="C23" s="143">
        <f>+C21-C22</f>
        <v>5161</v>
      </c>
      <c r="D23" s="31"/>
      <c r="E23" s="168">
        <f t="shared" si="0"/>
        <v>5161</v>
      </c>
      <c r="F23" s="87"/>
      <c r="G23" s="31"/>
      <c r="H23" s="129" t="s">
        <v>10</v>
      </c>
      <c r="J23" s="26"/>
      <c r="K23" s="23"/>
    </row>
    <row r="24" spans="1:14">
      <c r="A24" s="21" t="s">
        <v>11</v>
      </c>
      <c r="B24" s="21"/>
      <c r="C24" s="151">
        <v>2170</v>
      </c>
      <c r="D24" s="48"/>
      <c r="E24" s="168">
        <f t="shared" si="0"/>
        <v>2170</v>
      </c>
      <c r="F24" s="32"/>
      <c r="G24" s="31"/>
      <c r="H24" s="21" t="s">
        <v>114</v>
      </c>
      <c r="I24" s="26"/>
      <c r="J24" s="26"/>
      <c r="K24" s="23"/>
    </row>
    <row r="25" spans="1:14" outlineLevel="1">
      <c r="A25" s="44" t="s">
        <v>12</v>
      </c>
      <c r="B25" s="44"/>
      <c r="C25" s="151">
        <v>-425</v>
      </c>
      <c r="D25" s="48"/>
      <c r="E25" s="168">
        <f t="shared" si="0"/>
        <v>-425</v>
      </c>
      <c r="F25" s="32"/>
      <c r="G25" s="31"/>
      <c r="H25" s="44" t="s">
        <v>115</v>
      </c>
      <c r="I25" s="26"/>
      <c r="J25" s="26"/>
      <c r="K25" s="23"/>
    </row>
    <row r="26" spans="1:14" ht="18" customHeight="1" outlineLevel="1">
      <c r="A26" s="34" t="s">
        <v>65</v>
      </c>
      <c r="B26" s="44"/>
      <c r="C26" s="150">
        <v>-419</v>
      </c>
      <c r="D26" s="47"/>
      <c r="E26" s="167">
        <f t="shared" si="0"/>
        <v>-419</v>
      </c>
      <c r="F26" s="35"/>
      <c r="G26" s="31"/>
      <c r="H26" s="25" t="s">
        <v>116</v>
      </c>
      <c r="I26" s="26"/>
      <c r="J26" s="26"/>
      <c r="K26" s="23"/>
    </row>
    <row r="27" spans="1:14" s="76" customFormat="1">
      <c r="A27" s="124" t="s">
        <v>61</v>
      </c>
      <c r="B27" s="125"/>
      <c r="C27" s="145">
        <f>C23+C24+C25+C26</f>
        <v>6487</v>
      </c>
      <c r="D27" s="121"/>
      <c r="E27" s="166">
        <f t="shared" si="0"/>
        <v>6487</v>
      </c>
      <c r="F27" s="123"/>
      <c r="G27" s="115"/>
      <c r="H27" s="114"/>
      <c r="I27" s="118"/>
      <c r="J27" s="118"/>
      <c r="K27" s="119"/>
    </row>
    <row r="28" spans="1:14" s="76" customFormat="1" ht="18" customHeight="1">
      <c r="A28" s="114" t="s">
        <v>60</v>
      </c>
      <c r="B28" s="114"/>
      <c r="C28" s="152">
        <f>C19-C20-C27</f>
        <v>13299</v>
      </c>
      <c r="D28" s="152">
        <f>D19-D20-D27</f>
        <v>1</v>
      </c>
      <c r="E28" s="169">
        <f t="shared" si="0"/>
        <v>13300</v>
      </c>
      <c r="F28" s="117"/>
      <c r="G28" s="115"/>
      <c r="H28" s="252">
        <f>+E28-E16</f>
        <v>13289</v>
      </c>
      <c r="I28" s="118"/>
      <c r="J28" s="118"/>
      <c r="K28" s="119"/>
    </row>
    <row r="29" spans="1:14">
      <c r="A29" s="25" t="s">
        <v>13</v>
      </c>
      <c r="B29" s="25"/>
      <c r="C29" s="156">
        <v>3105.5259999999998</v>
      </c>
      <c r="D29" s="31">
        <v>-1</v>
      </c>
      <c r="E29" s="168">
        <f t="shared" si="0"/>
        <v>3104.5259999999998</v>
      </c>
      <c r="F29" s="35"/>
      <c r="G29" s="31"/>
      <c r="H29" s="25"/>
      <c r="I29" s="26"/>
      <c r="J29" s="26"/>
      <c r="K29" s="23"/>
    </row>
    <row r="30" spans="1:14">
      <c r="A30" s="34" t="s">
        <v>68</v>
      </c>
      <c r="B30" s="25"/>
      <c r="C30" s="153">
        <v>3112</v>
      </c>
      <c r="D30" s="161"/>
      <c r="E30" s="167">
        <f>+C30+D30</f>
        <v>3112</v>
      </c>
      <c r="F30" s="45"/>
      <c r="G30" s="31"/>
      <c r="H30" s="253">
        <f>+E30+E16</f>
        <v>3123</v>
      </c>
      <c r="I30" s="26"/>
      <c r="J30" s="26"/>
      <c r="K30" s="23"/>
    </row>
    <row r="31" spans="1:14" s="76" customFormat="1">
      <c r="A31" s="120" t="s">
        <v>14</v>
      </c>
      <c r="B31" s="114"/>
      <c r="C31" s="145">
        <f>C28-C29+C30</f>
        <v>13305.474</v>
      </c>
      <c r="D31" s="121">
        <f>+D28-D29+D30</f>
        <v>2</v>
      </c>
      <c r="E31" s="166">
        <f t="shared" si="0"/>
        <v>13307.474</v>
      </c>
      <c r="F31" s="123"/>
      <c r="G31" s="115"/>
      <c r="H31" s="114"/>
      <c r="I31" s="118"/>
      <c r="J31" s="118"/>
      <c r="K31" s="119"/>
    </row>
    <row r="32" spans="1:14">
      <c r="A32" s="25" t="s">
        <v>15</v>
      </c>
      <c r="B32" s="25"/>
      <c r="C32" s="143">
        <f>+C31-C33</f>
        <v>8245.4740000000002</v>
      </c>
      <c r="D32" s="31">
        <f>+D31-D33</f>
        <v>2</v>
      </c>
      <c r="E32" s="164">
        <f t="shared" si="0"/>
        <v>8247.4740000000002</v>
      </c>
      <c r="F32" s="87"/>
      <c r="G32" s="31"/>
      <c r="H32" s="25"/>
      <c r="I32" s="26"/>
      <c r="J32" s="26"/>
      <c r="K32" s="23"/>
    </row>
    <row r="33" spans="1:11">
      <c r="A33" s="34" t="s">
        <v>16</v>
      </c>
      <c r="B33" s="25"/>
      <c r="C33" s="153">
        <v>5060</v>
      </c>
      <c r="D33" s="39"/>
      <c r="E33" s="165">
        <f t="shared" si="0"/>
        <v>5060</v>
      </c>
      <c r="F33" s="35"/>
      <c r="G33" s="31"/>
      <c r="H33" s="25"/>
      <c r="I33" s="26"/>
      <c r="J33" s="26"/>
      <c r="K33" s="23"/>
    </row>
    <row r="34" spans="1:11">
      <c r="A34" s="25"/>
      <c r="B34" s="25"/>
      <c r="C34" s="51"/>
      <c r="D34" s="52"/>
      <c r="E34" s="23"/>
      <c r="F34" s="24"/>
      <c r="G34" s="23"/>
      <c r="H34" s="25"/>
      <c r="I34" s="26"/>
      <c r="J34" s="26"/>
      <c r="K34" s="23"/>
    </row>
    <row r="35" spans="1:11" hidden="1">
      <c r="A35" s="25"/>
      <c r="B35" s="25"/>
      <c r="C35" s="51"/>
      <c r="D35" s="52"/>
      <c r="E35" s="23"/>
      <c r="F35" s="24"/>
      <c r="G35" s="23"/>
      <c r="H35" s="25"/>
      <c r="I35" s="26"/>
      <c r="J35" s="26"/>
      <c r="K35" s="23"/>
    </row>
    <row r="36" spans="1:11" hidden="1">
      <c r="A36" s="25"/>
      <c r="B36" s="25"/>
      <c r="C36" s="51"/>
      <c r="D36" s="52"/>
      <c r="E36" s="23"/>
      <c r="F36" s="24"/>
      <c r="G36" s="23"/>
      <c r="H36" s="25"/>
      <c r="I36" s="26"/>
      <c r="J36" s="26"/>
      <c r="K36" s="23"/>
    </row>
    <row r="37" spans="1:11" hidden="1">
      <c r="A37" s="25"/>
      <c r="B37" s="25"/>
      <c r="C37" s="51"/>
      <c r="D37" s="52"/>
      <c r="E37" s="23"/>
      <c r="F37" s="24"/>
      <c r="G37" s="23"/>
      <c r="H37" s="25"/>
      <c r="I37" s="26"/>
      <c r="J37" s="26"/>
      <c r="K37" s="23"/>
    </row>
    <row r="38" spans="1:11" hidden="1">
      <c r="A38" s="60"/>
      <c r="B38" s="25"/>
      <c r="C38" s="51"/>
      <c r="D38" s="52"/>
      <c r="E38" s="23"/>
      <c r="F38" s="24"/>
      <c r="G38" s="23"/>
      <c r="H38" s="25"/>
      <c r="I38" s="26"/>
      <c r="J38" s="26"/>
      <c r="K38" s="23"/>
    </row>
    <row r="39" spans="1:11" hidden="1">
      <c r="A39" s="60"/>
      <c r="B39" s="25"/>
      <c r="C39" s="51"/>
      <c r="D39" s="52"/>
      <c r="E39" s="23"/>
      <c r="F39" s="24"/>
      <c r="G39" s="23"/>
      <c r="H39" s="25"/>
      <c r="I39" s="26"/>
      <c r="J39" s="26"/>
      <c r="K39" s="23"/>
    </row>
    <row r="40" spans="1:11" hidden="1">
      <c r="A40" s="60"/>
      <c r="B40" s="25"/>
      <c r="C40" s="51"/>
      <c r="D40" s="52"/>
      <c r="E40" s="23"/>
      <c r="F40" s="24"/>
      <c r="G40" s="23"/>
      <c r="H40" s="25"/>
      <c r="I40" s="26"/>
      <c r="J40" s="26"/>
      <c r="K40" s="23"/>
    </row>
    <row r="41" spans="1:11" hidden="1">
      <c r="A41" s="109"/>
      <c r="B41" s="25"/>
      <c r="C41" s="52"/>
      <c r="D41" s="52"/>
      <c r="E41" s="23"/>
      <c r="F41" s="24"/>
      <c r="G41" s="23"/>
      <c r="H41" s="25"/>
      <c r="I41" s="26"/>
      <c r="J41" s="26"/>
      <c r="K41" s="23"/>
    </row>
    <row r="42" spans="1:11" hidden="1">
      <c r="A42" s="109"/>
      <c r="C42" s="53"/>
      <c r="D42" s="53"/>
      <c r="E42" s="25"/>
      <c r="F42" s="25"/>
      <c r="G42" s="23"/>
      <c r="H42" s="25"/>
      <c r="I42" s="26"/>
      <c r="J42" s="26"/>
      <c r="K42" s="23"/>
    </row>
    <row r="43" spans="1:11" hidden="1">
      <c r="A43" s="113"/>
      <c r="C43" s="53"/>
      <c r="D43" s="53"/>
      <c r="E43" s="25"/>
      <c r="F43" s="25"/>
      <c r="G43" s="23"/>
      <c r="H43" s="25"/>
      <c r="I43" s="26"/>
      <c r="J43" s="26"/>
      <c r="K43" s="23"/>
    </row>
    <row r="44" spans="1:11" hidden="1">
      <c r="A44" s="113"/>
      <c r="C44" s="53"/>
      <c r="D44" s="53"/>
      <c r="E44" s="25"/>
      <c r="F44" s="25"/>
      <c r="G44" s="23"/>
      <c r="H44" s="25"/>
      <c r="I44" s="26"/>
      <c r="J44" s="26"/>
      <c r="K44" s="23"/>
    </row>
    <row r="45" spans="1:11" hidden="1">
      <c r="A45" s="113"/>
      <c r="C45" s="53"/>
      <c r="D45" s="53"/>
      <c r="E45" s="25"/>
      <c r="F45" s="25"/>
      <c r="G45" s="23"/>
      <c r="H45" s="25"/>
      <c r="I45" s="26"/>
      <c r="J45" s="26"/>
      <c r="K45" s="23"/>
    </row>
    <row r="46" spans="1:11" hidden="1">
      <c r="A46" s="113"/>
      <c r="C46" s="53"/>
      <c r="D46" s="53"/>
      <c r="E46" s="25"/>
      <c r="F46" s="25"/>
      <c r="G46" s="23"/>
      <c r="H46" s="25"/>
      <c r="I46" s="26"/>
      <c r="J46" s="26"/>
      <c r="K46" s="23"/>
    </row>
    <row r="47" spans="1:11" hidden="1">
      <c r="A47" s="113"/>
      <c r="C47" s="53"/>
      <c r="D47" s="53"/>
      <c r="E47" s="25"/>
      <c r="F47" s="25"/>
      <c r="G47" s="23"/>
      <c r="H47" s="25"/>
      <c r="I47" s="26"/>
      <c r="J47" s="26"/>
      <c r="K47" s="23"/>
    </row>
    <row r="48" spans="1:11" hidden="1">
      <c r="A48" s="126"/>
      <c r="C48" s="53"/>
      <c r="D48" s="53"/>
      <c r="E48" s="25"/>
      <c r="F48" s="25"/>
      <c r="G48" s="23"/>
      <c r="H48" s="25"/>
      <c r="I48" s="26"/>
      <c r="J48" s="26"/>
      <c r="K48" s="23"/>
    </row>
    <row r="49" spans="1:11" hidden="1">
      <c r="A49" s="109"/>
      <c r="C49" s="53"/>
      <c r="D49" s="53"/>
      <c r="E49" s="25"/>
      <c r="F49" s="25"/>
      <c r="G49" s="23"/>
      <c r="H49" s="25"/>
      <c r="I49" s="26"/>
      <c r="J49" s="26"/>
      <c r="K49" s="23"/>
    </row>
    <row r="50" spans="1:11" hidden="1">
      <c r="A50" s="78"/>
      <c r="C50" s="53"/>
      <c r="D50" s="53"/>
      <c r="E50" s="25"/>
      <c r="F50" s="25"/>
      <c r="G50" s="23"/>
      <c r="H50" s="25"/>
      <c r="I50" s="26"/>
      <c r="J50" s="26"/>
      <c r="K50" s="23"/>
    </row>
    <row r="51" spans="1:11" hidden="1">
      <c r="A51" s="109"/>
      <c r="C51" s="53"/>
      <c r="D51" s="53"/>
      <c r="E51" s="25"/>
      <c r="F51" s="25"/>
      <c r="G51" s="23"/>
      <c r="H51" s="25"/>
      <c r="I51" s="26"/>
      <c r="J51" s="26"/>
      <c r="K51" s="23"/>
    </row>
    <row r="52" spans="1:11" hidden="1">
      <c r="A52" s="109"/>
      <c r="C52" s="53"/>
      <c r="D52" s="53"/>
      <c r="E52" s="25"/>
      <c r="F52" s="25"/>
      <c r="G52" s="23"/>
      <c r="H52" s="25"/>
      <c r="I52" s="26"/>
      <c r="J52" s="26"/>
      <c r="K52" s="23"/>
    </row>
    <row r="53" spans="1:11" hidden="1">
      <c r="A53" s="109"/>
      <c r="C53" s="53"/>
      <c r="D53" s="53"/>
      <c r="E53" s="25"/>
      <c r="F53" s="25"/>
      <c r="G53" s="23"/>
      <c r="H53" s="25"/>
      <c r="I53" s="26"/>
      <c r="J53" s="26"/>
      <c r="K53" s="23"/>
    </row>
    <row r="54" spans="1:11" hidden="1">
      <c r="A54" s="78"/>
      <c r="C54" s="55"/>
      <c r="D54" s="55"/>
      <c r="E54" s="56"/>
      <c r="F54" s="56"/>
      <c r="G54" s="23"/>
      <c r="H54" s="6"/>
      <c r="I54" s="6"/>
      <c r="J54" s="6"/>
      <c r="K54" s="6"/>
    </row>
    <row r="55" spans="1:11" hidden="1">
      <c r="A55" s="109"/>
      <c r="C55" s="55"/>
      <c r="D55" s="55"/>
      <c r="E55" s="56"/>
      <c r="F55" s="56"/>
      <c r="G55" s="23"/>
      <c r="H55" s="6"/>
      <c r="I55" s="6"/>
      <c r="J55" s="6"/>
      <c r="K55" s="6"/>
    </row>
    <row r="56" spans="1:11" hidden="1">
      <c r="A56" s="109"/>
      <c r="C56" s="55"/>
      <c r="D56" s="55"/>
      <c r="E56" s="56"/>
      <c r="F56" s="56"/>
      <c r="G56" s="23"/>
      <c r="H56" s="6"/>
      <c r="I56" s="6"/>
      <c r="J56" s="6"/>
      <c r="K56" s="6"/>
    </row>
    <row r="57" spans="1:11" hidden="1">
      <c r="A57" s="78"/>
      <c r="C57" s="55"/>
      <c r="D57" s="55"/>
      <c r="E57" s="56"/>
      <c r="F57" s="56"/>
      <c r="G57" s="23"/>
      <c r="H57" s="6"/>
      <c r="I57" s="6"/>
      <c r="J57" s="6"/>
      <c r="K57" s="6"/>
    </row>
    <row r="58" spans="1:11" hidden="1">
      <c r="A58" s="78"/>
      <c r="C58" s="55"/>
      <c r="D58" s="55"/>
      <c r="E58" s="56"/>
      <c r="F58" s="56"/>
      <c r="G58" s="23"/>
      <c r="H58" s="6"/>
      <c r="I58" s="6"/>
      <c r="J58" s="6"/>
      <c r="K58" s="6"/>
    </row>
    <row r="59" spans="1:11" hidden="1">
      <c r="A59" s="109"/>
      <c r="C59" s="55"/>
      <c r="D59" s="55"/>
      <c r="E59" s="56"/>
      <c r="F59" s="56"/>
      <c r="G59" s="23"/>
      <c r="H59" s="6"/>
      <c r="I59" s="6"/>
      <c r="J59" s="6"/>
      <c r="K59" s="6"/>
    </row>
    <row r="60" spans="1:11" hidden="1">
      <c r="A60" s="109"/>
      <c r="C60" s="55"/>
      <c r="D60" s="55"/>
      <c r="E60" s="56"/>
      <c r="F60" s="56"/>
      <c r="G60" s="23"/>
      <c r="H60" s="6"/>
      <c r="I60" s="6"/>
      <c r="J60" s="6"/>
      <c r="K60" s="6"/>
    </row>
    <row r="61" spans="1:11" hidden="1">
      <c r="C61" s="55"/>
      <c r="D61" s="55"/>
      <c r="E61" s="56"/>
      <c r="F61" s="56"/>
      <c r="G61" s="23"/>
      <c r="H61" s="6"/>
      <c r="I61" s="6"/>
      <c r="J61" s="6"/>
      <c r="K61" s="6"/>
    </row>
    <row r="62" spans="1:11" hidden="1">
      <c r="C62" s="55"/>
      <c r="D62" s="55"/>
      <c r="E62" s="56"/>
      <c r="F62" s="56"/>
      <c r="G62" s="23"/>
      <c r="H62" s="6"/>
      <c r="I62" s="6"/>
      <c r="J62" s="6"/>
      <c r="K62" s="6"/>
    </row>
    <row r="63" spans="1:11" hidden="1">
      <c r="C63" s="55"/>
      <c r="D63" s="55"/>
      <c r="E63" s="56"/>
      <c r="F63" s="56"/>
      <c r="G63" s="23"/>
      <c r="H63" s="6"/>
      <c r="I63" s="6"/>
      <c r="J63" s="6"/>
      <c r="K63" s="6"/>
    </row>
    <row r="64" spans="1:11" hidden="1">
      <c r="C64" s="55"/>
      <c r="D64" s="55"/>
      <c r="E64" s="56"/>
      <c r="F64" s="56"/>
      <c r="G64" s="23"/>
      <c r="H64" s="6"/>
      <c r="I64" s="6"/>
      <c r="J64" s="6"/>
      <c r="K64" s="6"/>
    </row>
    <row r="65" spans="1:11" hidden="1">
      <c r="C65" s="55"/>
      <c r="D65" s="55"/>
      <c r="E65" s="56"/>
      <c r="F65" s="56"/>
      <c r="G65" s="23"/>
      <c r="H65" s="6"/>
      <c r="I65" s="6"/>
      <c r="J65" s="6"/>
      <c r="K65" s="6"/>
    </row>
    <row r="66" spans="1:11" hidden="1">
      <c r="C66" s="55"/>
      <c r="D66" s="55"/>
      <c r="E66" s="56"/>
      <c r="F66" s="56"/>
      <c r="G66" s="23"/>
      <c r="H66" s="6"/>
      <c r="I66" s="6"/>
      <c r="J66" s="6"/>
      <c r="K66" s="6"/>
    </row>
    <row r="67" spans="1:11" hidden="1">
      <c r="C67" s="55"/>
      <c r="D67" s="55"/>
      <c r="E67" s="56"/>
      <c r="F67" s="56"/>
      <c r="G67" s="23"/>
      <c r="H67" s="6"/>
      <c r="I67" s="6"/>
      <c r="J67" s="6"/>
      <c r="K67" s="6"/>
    </row>
    <row r="68" spans="1:11" hidden="1">
      <c r="C68" s="55"/>
      <c r="D68" s="55"/>
      <c r="E68" s="56"/>
      <c r="F68" s="56"/>
      <c r="G68" s="23"/>
      <c r="H68" s="6"/>
      <c r="I68" s="6"/>
      <c r="J68" s="6"/>
      <c r="K68" s="6"/>
    </row>
    <row r="69" spans="1:11">
      <c r="C69" s="55"/>
      <c r="D69" s="55"/>
      <c r="E69" s="56"/>
      <c r="F69" s="56"/>
      <c r="G69" s="23"/>
      <c r="H69" s="6"/>
      <c r="I69" s="6"/>
      <c r="J69" s="6"/>
      <c r="K69" s="6"/>
    </row>
    <row r="70" spans="1:11" ht="28.5">
      <c r="C70" s="91" t="s">
        <v>120</v>
      </c>
      <c r="D70" s="90" t="s">
        <v>39</v>
      </c>
      <c r="E70" s="91" t="s">
        <v>121</v>
      </c>
      <c r="F70" s="17" t="s">
        <v>4</v>
      </c>
      <c r="G70" s="23"/>
      <c r="H70" s="6"/>
      <c r="I70" s="6"/>
      <c r="J70" s="6"/>
      <c r="K70" s="6"/>
    </row>
    <row r="71" spans="1:11">
      <c r="A71" s="57" t="s">
        <v>64</v>
      </c>
      <c r="B71" s="19"/>
      <c r="C71" s="58"/>
      <c r="D71" s="58"/>
      <c r="E71" s="59"/>
      <c r="F71" s="16"/>
      <c r="G71" s="60"/>
      <c r="H71" s="6"/>
      <c r="I71" s="61"/>
      <c r="J71" s="61"/>
      <c r="K71" s="6"/>
    </row>
    <row r="72" spans="1:11" ht="15.75" customHeight="1">
      <c r="A72" s="43" t="s">
        <v>62</v>
      </c>
      <c r="B72" s="44"/>
      <c r="C72" s="162">
        <f>+C19</f>
        <v>18707</v>
      </c>
      <c r="D72" s="37">
        <f>+D19</f>
        <v>1</v>
      </c>
      <c r="E72" s="147">
        <f>+C72+D72</f>
        <v>18708</v>
      </c>
      <c r="F72" s="127">
        <f>F19</f>
        <v>8.4</v>
      </c>
      <c r="G72" s="31"/>
      <c r="H72" s="19"/>
      <c r="I72" s="63"/>
      <c r="J72" s="63"/>
      <c r="K72" s="6"/>
    </row>
    <row r="73" spans="1:11" ht="15.75" customHeight="1">
      <c r="A73" s="6" t="s">
        <v>17</v>
      </c>
      <c r="C73" s="143">
        <v>7439</v>
      </c>
      <c r="D73" s="31"/>
      <c r="E73" s="148">
        <f t="shared" ref="E73:E76" si="1">+C73+D73</f>
        <v>7439</v>
      </c>
      <c r="F73" s="62">
        <f>ROUND(((+E73/E$11)*100),1)</f>
        <v>3.3</v>
      </c>
      <c r="G73" s="85"/>
      <c r="H73" s="6"/>
      <c r="I73" s="42"/>
      <c r="J73" s="42"/>
      <c r="K73" s="6"/>
    </row>
    <row r="74" spans="1:11" ht="15.75" customHeight="1">
      <c r="A74" s="64" t="s">
        <v>76</v>
      </c>
      <c r="B74" s="25"/>
      <c r="C74" s="154">
        <f>+C75-C73-C72</f>
        <v>1982</v>
      </c>
      <c r="D74" s="81">
        <f>+D75-D73-D72</f>
        <v>-1</v>
      </c>
      <c r="E74" s="81">
        <f t="shared" si="1"/>
        <v>1981</v>
      </c>
      <c r="F74" s="62">
        <f>F75-F72-F73</f>
        <v>0.89999999999999947</v>
      </c>
      <c r="G74" s="85"/>
      <c r="H74" s="6"/>
      <c r="I74" s="42"/>
      <c r="J74" s="42"/>
      <c r="K74" s="66"/>
    </row>
    <row r="75" spans="1:11" ht="15.75" customHeight="1">
      <c r="A75" s="67" t="s">
        <v>63</v>
      </c>
      <c r="B75" s="25"/>
      <c r="C75" s="146">
        <v>28128</v>
      </c>
      <c r="D75" s="68"/>
      <c r="E75" s="149">
        <f t="shared" si="1"/>
        <v>28128</v>
      </c>
      <c r="F75" s="69">
        <f>ROUND(((+E75/E$11)*100),1)</f>
        <v>12.6</v>
      </c>
      <c r="G75" s="31"/>
      <c r="H75" s="6"/>
      <c r="I75" s="42"/>
      <c r="J75" s="42"/>
      <c r="K75" s="6"/>
    </row>
    <row r="76" spans="1:11" s="76" customFormat="1" ht="15.75" customHeight="1">
      <c r="A76" s="140" t="s">
        <v>18</v>
      </c>
      <c r="B76" s="77"/>
      <c r="C76" s="163"/>
      <c r="D76" s="70"/>
      <c r="E76" s="70">
        <f t="shared" si="1"/>
        <v>0</v>
      </c>
      <c r="F76" s="141"/>
      <c r="H76" s="77"/>
      <c r="I76" s="116"/>
      <c r="J76" s="116"/>
      <c r="K76" s="77"/>
    </row>
    <row r="77" spans="1:11" ht="19.5" customHeight="1">
      <c r="C77" s="71"/>
      <c r="D77" s="72"/>
      <c r="E77" s="72"/>
      <c r="F77" s="73"/>
      <c r="H77" s="1"/>
      <c r="I77" s="42"/>
      <c r="J77" s="42"/>
      <c r="K77" s="6"/>
    </row>
  </sheetData>
  <mergeCells count="5">
    <mergeCell ref="A1:G1"/>
    <mergeCell ref="A2:G2"/>
    <mergeCell ref="A3:G3"/>
    <mergeCell ref="A4:F4"/>
    <mergeCell ref="C6:E6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 sizeWithCells="1">
              <from>
                <xdr:col>3</xdr:col>
                <xdr:colOff>0</xdr:colOff>
                <xdr:row>76</xdr:row>
                <xdr:rowOff>12700</xdr:rowOff>
              </from>
              <to>
                <xdr:col>3</xdr:col>
                <xdr:colOff>0</xdr:colOff>
                <xdr:row>77</xdr:row>
                <xdr:rowOff>0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57"/>
  <sheetViews>
    <sheetView showGridLines="0" view="pageBreakPreview" topLeftCell="A8" zoomScale="84" zoomScaleSheetLayoutView="84" workbookViewId="0">
      <selection activeCell="C12" sqref="C12"/>
    </sheetView>
  </sheetViews>
  <sheetFormatPr defaultColWidth="9.81640625" defaultRowHeight="15.5" outlineLevelRow="1"/>
  <cols>
    <col min="1" max="1" width="49.26953125" style="93" customWidth="1"/>
    <col min="2" max="2" width="1.453125" style="97" customWidth="1"/>
    <col min="3" max="5" width="10.7265625" style="93" customWidth="1"/>
    <col min="6" max="6" width="15.1796875" style="93" customWidth="1"/>
    <col min="7" max="7" width="13.1796875" style="93" customWidth="1"/>
    <col min="8" max="8" width="22.453125" style="93" customWidth="1"/>
    <col min="9" max="9" width="9.81640625" style="93" customWidth="1"/>
    <col min="10" max="10" width="5" style="93" customWidth="1"/>
    <col min="11" max="11" width="5.1796875" style="93" customWidth="1"/>
    <col min="12" max="16384" width="9.81640625" style="93"/>
  </cols>
  <sheetData>
    <row r="1" spans="1:12" ht="36" customHeight="1">
      <c r="A1" s="979" t="s">
        <v>0</v>
      </c>
      <c r="B1" s="979"/>
      <c r="C1" s="979"/>
      <c r="D1" s="979"/>
      <c r="E1" s="979"/>
      <c r="G1" s="94"/>
      <c r="H1" s="94"/>
      <c r="I1" s="94"/>
    </row>
    <row r="2" spans="1:12" ht="15" customHeight="1">
      <c r="A2" s="980" t="s">
        <v>1</v>
      </c>
      <c r="B2" s="980"/>
      <c r="C2" s="980"/>
      <c r="D2" s="980"/>
      <c r="E2" s="980"/>
      <c r="F2" s="95"/>
      <c r="G2" s="96"/>
      <c r="H2" s="96"/>
      <c r="I2" s="96"/>
    </row>
    <row r="3" spans="1:12" ht="15" customHeight="1">
      <c r="A3" s="981" t="s">
        <v>66</v>
      </c>
      <c r="B3" s="981"/>
      <c r="C3" s="981"/>
      <c r="D3" s="981"/>
      <c r="E3" s="981"/>
      <c r="F3" s="95"/>
      <c r="G3" s="96"/>
      <c r="H3" s="96"/>
      <c r="I3" s="96"/>
    </row>
    <row r="4" spans="1:12" ht="18">
      <c r="A4" s="978"/>
      <c r="B4" s="978"/>
      <c r="C4" s="978"/>
      <c r="D4" s="978"/>
      <c r="E4" s="978"/>
      <c r="F4" s="95"/>
      <c r="G4" s="95"/>
      <c r="H4" s="95"/>
      <c r="I4" s="95"/>
      <c r="J4" s="95"/>
      <c r="K4" s="95"/>
      <c r="L4" s="97"/>
    </row>
    <row r="5" spans="1:12">
      <c r="A5" s="99"/>
      <c r="B5" s="101"/>
      <c r="C5" s="99"/>
      <c r="D5" s="99"/>
      <c r="E5" s="99"/>
      <c r="F5" s="101"/>
      <c r="G5" s="100"/>
      <c r="H5" s="100"/>
      <c r="I5" s="10"/>
    </row>
    <row r="6" spans="1:12">
      <c r="A6" s="11"/>
      <c r="B6" s="11"/>
      <c r="C6" s="977"/>
      <c r="D6" s="977"/>
      <c r="E6" s="977"/>
      <c r="F6" s="97"/>
      <c r="G6" s="128"/>
      <c r="H6" s="128"/>
      <c r="I6" s="97"/>
    </row>
    <row r="7" spans="1:12" hidden="1">
      <c r="A7" s="11"/>
      <c r="B7" s="11"/>
      <c r="C7" s="157"/>
      <c r="D7" s="157"/>
      <c r="E7" s="157"/>
      <c r="F7" s="97"/>
      <c r="G7" s="128"/>
      <c r="H7" s="128"/>
      <c r="I7" s="97"/>
    </row>
    <row r="8" spans="1:12" ht="31">
      <c r="A8" s="14"/>
      <c r="B8" s="15"/>
      <c r="C8" s="90" t="s">
        <v>163</v>
      </c>
      <c r="D8" s="75" t="s">
        <v>89</v>
      </c>
      <c r="E8" s="90" t="s">
        <v>164</v>
      </c>
      <c r="F8" s="103"/>
    </row>
    <row r="9" spans="1:12">
      <c r="A9" s="105" t="s">
        <v>5</v>
      </c>
      <c r="B9" s="105"/>
      <c r="C9" s="143">
        <v>114801</v>
      </c>
      <c r="D9" s="143"/>
      <c r="E9" s="143">
        <f t="shared" ref="E9:E31" si="0">+C9+D9</f>
        <v>114801</v>
      </c>
    </row>
    <row r="10" spans="1:12">
      <c r="A10" s="104" t="s">
        <v>6</v>
      </c>
      <c r="B10" s="105"/>
      <c r="C10" s="153">
        <v>72597</v>
      </c>
      <c r="D10" s="153"/>
      <c r="E10" s="153">
        <f t="shared" si="0"/>
        <v>72597</v>
      </c>
    </row>
    <row r="11" spans="1:12">
      <c r="A11" s="104" t="s">
        <v>7</v>
      </c>
      <c r="B11" s="105"/>
      <c r="C11" s="153">
        <f>C9-C10</f>
        <v>42204</v>
      </c>
      <c r="D11" s="153"/>
      <c r="E11" s="153">
        <f t="shared" si="0"/>
        <v>42204</v>
      </c>
    </row>
    <row r="12" spans="1:12">
      <c r="A12" s="131" t="s">
        <v>34</v>
      </c>
      <c r="B12" s="129"/>
      <c r="C12" s="143">
        <v>3972</v>
      </c>
      <c r="D12" s="143"/>
      <c r="E12" s="143">
        <f t="shared" si="0"/>
        <v>3972</v>
      </c>
    </row>
    <row r="13" spans="1:12">
      <c r="A13" s="131" t="s">
        <v>35</v>
      </c>
      <c r="B13" s="129"/>
      <c r="C13" s="143">
        <v>27615</v>
      </c>
      <c r="D13" s="143">
        <f>-D12</f>
        <v>0</v>
      </c>
      <c r="E13" s="143">
        <f t="shared" si="0"/>
        <v>27615</v>
      </c>
    </row>
    <row r="14" spans="1:12" outlineLevel="1">
      <c r="A14" s="25" t="s">
        <v>74</v>
      </c>
      <c r="B14" s="105"/>
      <c r="C14" s="143">
        <v>-35</v>
      </c>
      <c r="D14" s="143"/>
      <c r="E14" s="143">
        <f>+C14+D14</f>
        <v>-35</v>
      </c>
    </row>
    <row r="15" spans="1:12" outlineLevel="1">
      <c r="A15" s="25" t="s">
        <v>69</v>
      </c>
      <c r="B15" s="105"/>
      <c r="C15" s="897">
        <v>157</v>
      </c>
      <c r="D15" s="143"/>
      <c r="E15" s="143">
        <f>+C15+D15</f>
        <v>157</v>
      </c>
    </row>
    <row r="16" spans="1:12">
      <c r="A16" s="25" t="s">
        <v>75</v>
      </c>
      <c r="B16" s="93"/>
      <c r="C16" s="103">
        <f>+C15-C14</f>
        <v>192</v>
      </c>
      <c r="D16" s="103">
        <f>+D15-D14</f>
        <v>0</v>
      </c>
      <c r="E16" s="143">
        <f>+C16+D16</f>
        <v>192</v>
      </c>
    </row>
    <row r="17" spans="1:6" s="108" customFormat="1">
      <c r="A17" s="124" t="s">
        <v>73</v>
      </c>
      <c r="B17" s="133"/>
      <c r="C17" s="145">
        <f>C11-C12-C13-C16</f>
        <v>10425</v>
      </c>
      <c r="D17" s="145">
        <f>-D16</f>
        <v>0</v>
      </c>
      <c r="E17" s="145">
        <f t="shared" si="0"/>
        <v>10425</v>
      </c>
    </row>
    <row r="18" spans="1:6">
      <c r="A18" s="46" t="s">
        <v>70</v>
      </c>
      <c r="B18" s="131"/>
      <c r="C18" s="898">
        <v>1376</v>
      </c>
      <c r="D18" s="150"/>
      <c r="E18" s="150">
        <f t="shared" si="0"/>
        <v>1376</v>
      </c>
      <c r="F18" s="103">
        <f>+E18+E15</f>
        <v>1533</v>
      </c>
    </row>
    <row r="19" spans="1:6">
      <c r="A19" s="129" t="s">
        <v>8</v>
      </c>
      <c r="B19" s="129"/>
      <c r="C19" s="151">
        <v>2696</v>
      </c>
      <c r="D19" s="151"/>
      <c r="E19" s="151">
        <f t="shared" si="0"/>
        <v>2696</v>
      </c>
    </row>
    <row r="20" spans="1:6">
      <c r="A20" s="130" t="s">
        <v>9</v>
      </c>
      <c r="B20" s="129"/>
      <c r="C20" s="150">
        <v>301</v>
      </c>
      <c r="D20" s="150"/>
      <c r="E20" s="150">
        <f t="shared" si="0"/>
        <v>301</v>
      </c>
    </row>
    <row r="21" spans="1:6">
      <c r="A21" s="129" t="s">
        <v>10</v>
      </c>
      <c r="B21" s="129"/>
      <c r="C21" s="143">
        <f>+C19-C20</f>
        <v>2395</v>
      </c>
      <c r="D21" s="143">
        <f>+SUM(D19:D20)</f>
        <v>0</v>
      </c>
      <c r="E21" s="143">
        <f t="shared" si="0"/>
        <v>2395</v>
      </c>
    </row>
    <row r="22" spans="1:6">
      <c r="A22" s="21" t="s">
        <v>114</v>
      </c>
      <c r="B22" s="129"/>
      <c r="C22" s="151">
        <v>504</v>
      </c>
      <c r="D22" s="151"/>
      <c r="E22" s="151">
        <f t="shared" si="0"/>
        <v>504</v>
      </c>
    </row>
    <row r="23" spans="1:6">
      <c r="A23" s="44" t="s">
        <v>115</v>
      </c>
      <c r="B23" s="131"/>
      <c r="C23" s="151">
        <v>-179</v>
      </c>
      <c r="D23" s="151"/>
      <c r="E23" s="151">
        <f t="shared" si="0"/>
        <v>-179</v>
      </c>
    </row>
    <row r="24" spans="1:6" ht="18" customHeight="1">
      <c r="A24" s="25" t="s">
        <v>116</v>
      </c>
      <c r="B24" s="131"/>
      <c r="C24" s="150">
        <v>50</v>
      </c>
      <c r="D24" s="150"/>
      <c r="E24" s="150">
        <f t="shared" si="0"/>
        <v>50</v>
      </c>
    </row>
    <row r="25" spans="1:6" s="108" customFormat="1">
      <c r="A25" s="132" t="s">
        <v>61</v>
      </c>
      <c r="B25" s="133"/>
      <c r="C25" s="145">
        <f>C21+C22+C23+C24</f>
        <v>2770</v>
      </c>
      <c r="D25" s="145">
        <f>-D23</f>
        <v>0</v>
      </c>
      <c r="E25" s="145">
        <f t="shared" si="0"/>
        <v>2770</v>
      </c>
    </row>
    <row r="26" spans="1:6" s="108" customFormat="1" ht="18" customHeight="1">
      <c r="A26" s="134" t="s">
        <v>60</v>
      </c>
      <c r="B26" s="134"/>
      <c r="C26" s="152">
        <f>C17-C18-C25</f>
        <v>6279</v>
      </c>
      <c r="D26" s="152">
        <f>+D17+D18-D25-D28</f>
        <v>0</v>
      </c>
      <c r="E26" s="152">
        <f t="shared" si="0"/>
        <v>6279</v>
      </c>
      <c r="F26" s="208">
        <f>+E26-E14</f>
        <v>6314</v>
      </c>
    </row>
    <row r="27" spans="1:6" s="97" customFormat="1">
      <c r="A27" s="105" t="s">
        <v>13</v>
      </c>
      <c r="B27" s="105"/>
      <c r="C27" s="156">
        <v>1679.8836643231134</v>
      </c>
      <c r="D27" s="156"/>
      <c r="E27" s="156">
        <f t="shared" si="0"/>
        <v>1679.8836643231134</v>
      </c>
      <c r="F27" s="245"/>
    </row>
    <row r="28" spans="1:6">
      <c r="A28" s="104" t="s">
        <v>68</v>
      </c>
      <c r="B28" s="105"/>
      <c r="C28" s="153">
        <v>1819</v>
      </c>
      <c r="D28" s="153"/>
      <c r="E28" s="153">
        <f>+C28+D28</f>
        <v>1819</v>
      </c>
      <c r="F28" s="103">
        <f>+E28+E14</f>
        <v>1784</v>
      </c>
    </row>
    <row r="29" spans="1:6" s="108" customFormat="1">
      <c r="A29" s="135" t="s">
        <v>14</v>
      </c>
      <c r="B29" s="134"/>
      <c r="C29" s="145">
        <f>C26-C27+C28</f>
        <v>6418.1163356768866</v>
      </c>
      <c r="D29" s="145">
        <f>+D26-D27</f>
        <v>0</v>
      </c>
      <c r="E29" s="145">
        <f t="shared" si="0"/>
        <v>6418.1163356768866</v>
      </c>
      <c r="F29" s="208"/>
    </row>
    <row r="30" spans="1:6">
      <c r="A30" s="105" t="s">
        <v>15</v>
      </c>
      <c r="B30" s="105"/>
      <c r="C30" s="143">
        <f>+C29-C31</f>
        <v>4657.1163356768866</v>
      </c>
      <c r="D30" s="143">
        <f>+D29-D31</f>
        <v>0</v>
      </c>
      <c r="E30" s="143">
        <f t="shared" si="0"/>
        <v>4657.1163356768866</v>
      </c>
    </row>
    <row r="31" spans="1:6">
      <c r="A31" s="104" t="s">
        <v>16</v>
      </c>
      <c r="B31" s="105"/>
      <c r="C31" s="153">
        <v>1761</v>
      </c>
      <c r="D31" s="153"/>
      <c r="E31" s="153">
        <f t="shared" si="0"/>
        <v>1761</v>
      </c>
    </row>
    <row r="32" spans="1:6">
      <c r="A32" s="105"/>
      <c r="B32" s="105"/>
      <c r="C32" s="894">
        <f>+C27/C26</f>
        <v>0.26754000068850348</v>
      </c>
      <c r="D32" s="51"/>
      <c r="E32" s="51"/>
    </row>
    <row r="33" spans="1:5">
      <c r="A33" s="109"/>
      <c r="C33" s="53"/>
      <c r="D33" s="53"/>
      <c r="E33" s="53"/>
    </row>
    <row r="34" spans="1:5" hidden="1">
      <c r="A34" s="136"/>
      <c r="C34" s="55"/>
      <c r="D34" s="55"/>
      <c r="E34" s="55"/>
    </row>
    <row r="35" spans="1:5" hidden="1">
      <c r="A35" s="109"/>
      <c r="C35" s="55"/>
      <c r="D35" s="55"/>
      <c r="E35" s="55"/>
    </row>
    <row r="36" spans="1:5" hidden="1">
      <c r="A36" s="109"/>
      <c r="C36" s="55"/>
      <c r="D36" s="55"/>
      <c r="E36" s="55"/>
    </row>
    <row r="37" spans="1:5" hidden="1">
      <c r="A37" s="136"/>
      <c r="C37" s="55"/>
      <c r="D37" s="55"/>
      <c r="E37" s="55"/>
    </row>
    <row r="38" spans="1:5" hidden="1">
      <c r="A38" s="136"/>
      <c r="C38" s="55"/>
      <c r="D38" s="55"/>
      <c r="E38" s="55"/>
    </row>
    <row r="39" spans="1:5" hidden="1">
      <c r="A39" s="109"/>
      <c r="C39" s="55"/>
      <c r="D39" s="55"/>
      <c r="E39" s="55"/>
    </row>
    <row r="40" spans="1:5" hidden="1">
      <c r="A40" s="109"/>
      <c r="C40" s="55"/>
      <c r="D40" s="55"/>
      <c r="E40" s="55"/>
    </row>
    <row r="41" spans="1:5" hidden="1">
      <c r="C41" s="55"/>
      <c r="D41" s="55"/>
      <c r="E41" s="55"/>
    </row>
    <row r="42" spans="1:5" hidden="1">
      <c r="C42" s="55"/>
      <c r="D42" s="55"/>
      <c r="E42" s="55"/>
    </row>
    <row r="43" spans="1:5" hidden="1">
      <c r="C43" s="55"/>
      <c r="D43" s="55"/>
      <c r="E43" s="55"/>
    </row>
    <row r="44" spans="1:5" hidden="1">
      <c r="C44" s="55"/>
      <c r="D44" s="55"/>
      <c r="E44" s="55"/>
    </row>
    <row r="45" spans="1:5" hidden="1">
      <c r="C45" s="55"/>
      <c r="D45" s="55"/>
      <c r="E45" s="55"/>
    </row>
    <row r="46" spans="1:5" hidden="1">
      <c r="C46" s="55"/>
      <c r="D46" s="55"/>
      <c r="E46" s="55"/>
    </row>
    <row r="47" spans="1:5" hidden="1">
      <c r="C47" s="55"/>
      <c r="D47" s="55"/>
      <c r="E47" s="55"/>
    </row>
    <row r="48" spans="1:5" hidden="1">
      <c r="C48" s="55"/>
      <c r="D48" s="55"/>
      <c r="E48" s="55"/>
    </row>
    <row r="49" spans="1:9" hidden="1">
      <c r="C49" s="55"/>
      <c r="D49" s="55"/>
      <c r="E49" s="55"/>
    </row>
    <row r="50" spans="1:9" ht="31">
      <c r="C50" s="90" t="s">
        <v>144</v>
      </c>
      <c r="D50" s="75" t="s">
        <v>89</v>
      </c>
      <c r="E50" s="90" t="s">
        <v>145</v>
      </c>
    </row>
    <row r="51" spans="1:9">
      <c r="A51" s="102" t="s">
        <v>64</v>
      </c>
      <c r="B51" s="106"/>
      <c r="C51" s="137"/>
      <c r="D51" s="137"/>
      <c r="E51" s="137"/>
    </row>
    <row r="52" spans="1:9" ht="15.75" customHeight="1">
      <c r="A52" s="138" t="s">
        <v>62</v>
      </c>
      <c r="B52" s="131"/>
      <c r="C52" s="144">
        <f>+C17</f>
        <v>10425</v>
      </c>
      <c r="D52" s="144">
        <f>+D17</f>
        <v>0</v>
      </c>
      <c r="E52" s="144">
        <f t="shared" ref="E52:E56" si="1">+C52+D52</f>
        <v>10425</v>
      </c>
    </row>
    <row r="53" spans="1:9" ht="15.75" customHeight="1">
      <c r="A53" s="97" t="s">
        <v>17</v>
      </c>
      <c r="C53" s="143">
        <v>3775</v>
      </c>
      <c r="D53" s="143"/>
      <c r="E53" s="143">
        <f t="shared" si="1"/>
        <v>3775</v>
      </c>
    </row>
    <row r="54" spans="1:9" ht="15.75" customHeight="1">
      <c r="A54" s="64" t="s">
        <v>76</v>
      </c>
      <c r="B54" s="105"/>
      <c r="C54" s="154">
        <f>+C55-C53-C52</f>
        <v>1084</v>
      </c>
      <c r="D54" s="143">
        <f>+D55-D53-D52</f>
        <v>0</v>
      </c>
      <c r="E54" s="154">
        <f t="shared" si="1"/>
        <v>1084</v>
      </c>
    </row>
    <row r="55" spans="1:9" ht="15.75" customHeight="1">
      <c r="A55" s="139" t="s">
        <v>63</v>
      </c>
      <c r="B55" s="105"/>
      <c r="C55" s="146">
        <v>15284</v>
      </c>
      <c r="D55" s="146"/>
      <c r="E55" s="146">
        <f t="shared" si="1"/>
        <v>15284</v>
      </c>
    </row>
    <row r="56" spans="1:9" s="108" customFormat="1" ht="15.75" customHeight="1">
      <c r="A56" s="142" t="s">
        <v>18</v>
      </c>
      <c r="B56" s="107"/>
      <c r="C56" s="155"/>
      <c r="D56" s="155"/>
      <c r="E56" s="155">
        <f t="shared" si="1"/>
        <v>0</v>
      </c>
    </row>
    <row r="57" spans="1:9" ht="19.5" customHeight="1">
      <c r="C57" s="71"/>
      <c r="D57" s="71"/>
      <c r="E57" s="71"/>
      <c r="F57" s="92"/>
      <c r="G57" s="42"/>
      <c r="H57" s="42"/>
      <c r="I57" s="97"/>
    </row>
  </sheetData>
  <mergeCells count="5">
    <mergeCell ref="A4:E4"/>
    <mergeCell ref="C6:E6"/>
    <mergeCell ref="A1:E1"/>
    <mergeCell ref="A2:E2"/>
    <mergeCell ref="A3:E3"/>
  </mergeCells>
  <printOptions horizontalCentered="1"/>
  <pageMargins left="0.43307086614173229" right="0.31496062992125984" top="0.78740157480314965" bottom="0.23622047244094491" header="0" footer="0"/>
  <pageSetup scale="62" orientation="portrait" horizontalDpi="300" verticalDpi="300" r:id="rId1"/>
  <headerFooter alignWithMargins="0"/>
  <ignoredErrors>
    <ignoredError sqref="E16 E52" formula="1"/>
  </ignoredErrors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 sizeWithCells="1">
              <from>
                <xdr:col>5</xdr:col>
                <xdr:colOff>0</xdr:colOff>
                <xdr:row>56</xdr:row>
                <xdr:rowOff>12700</xdr:rowOff>
              </from>
              <to>
                <xdr:col>5</xdr:col>
                <xdr:colOff>0</xdr:colOff>
                <xdr:row>57</xdr:row>
                <xdr:rowOff>0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1048567"/>
  <sheetViews>
    <sheetView showGridLines="0" view="pageBreakPreview" topLeftCell="B52" zoomScaleSheetLayoutView="100" workbookViewId="0">
      <selection activeCell="K64" sqref="K64"/>
    </sheetView>
  </sheetViews>
  <sheetFormatPr defaultColWidth="9.81640625" defaultRowHeight="15.5"/>
  <cols>
    <col min="1" max="1" width="61.7265625" style="2" customWidth="1"/>
    <col min="2" max="2" width="2.81640625" style="6" customWidth="1"/>
    <col min="3" max="3" width="17.54296875" style="2" bestFit="1" customWidth="1"/>
    <col min="4" max="5" width="10.7265625" style="2" customWidth="1"/>
    <col min="6" max="7" width="10.7265625" style="6" customWidth="1"/>
    <col min="8" max="8" width="9.81640625" style="6" bestFit="1" customWidth="1"/>
    <col min="9" max="9" width="9.81640625" style="2" bestFit="1" customWidth="1"/>
    <col min="10" max="10" width="17.7265625" style="2" bestFit="1" customWidth="1"/>
    <col min="11" max="11" width="10.7265625" style="2" customWidth="1"/>
    <col min="12" max="12" width="14.54296875" style="2" bestFit="1" customWidth="1"/>
    <col min="13" max="13" width="10.7265625" style="2" customWidth="1"/>
    <col min="14" max="14" width="12.26953125" style="2" bestFit="1" customWidth="1"/>
    <col min="15" max="15" width="10.81640625" style="2" bestFit="1" customWidth="1"/>
    <col min="16" max="16" width="15.54296875" style="2" bestFit="1" customWidth="1"/>
    <col min="17" max="16384" width="9.81640625" style="2"/>
  </cols>
  <sheetData>
    <row r="1" spans="1:19" ht="39" customHeight="1">
      <c r="A1" s="973" t="s">
        <v>0</v>
      </c>
      <c r="B1" s="973"/>
      <c r="C1" s="973"/>
      <c r="D1" s="973"/>
      <c r="E1" s="973"/>
      <c r="F1" s="973"/>
      <c r="G1" s="973"/>
      <c r="H1" s="973"/>
      <c r="I1" s="973"/>
      <c r="K1" s="3"/>
      <c r="L1" s="3"/>
      <c r="M1" s="3"/>
    </row>
    <row r="2" spans="1:19" ht="15" customHeight="1">
      <c r="A2" s="974" t="s">
        <v>1</v>
      </c>
      <c r="B2" s="974"/>
      <c r="C2" s="974"/>
      <c r="D2" s="974"/>
      <c r="E2" s="974"/>
      <c r="F2" s="974"/>
      <c r="G2" s="974"/>
      <c r="H2" s="974"/>
      <c r="I2" s="974"/>
      <c r="J2" s="4"/>
      <c r="K2" s="5"/>
      <c r="L2" s="5"/>
      <c r="M2" s="5"/>
    </row>
    <row r="3" spans="1:19" ht="15" customHeight="1">
      <c r="A3" s="975" t="s">
        <v>67</v>
      </c>
      <c r="B3" s="975"/>
      <c r="C3" s="975"/>
      <c r="D3" s="975"/>
      <c r="E3" s="975"/>
      <c r="F3" s="975"/>
      <c r="G3" s="975"/>
      <c r="H3" s="975"/>
      <c r="I3" s="975"/>
      <c r="J3" s="4"/>
      <c r="K3" s="5"/>
      <c r="L3" s="225"/>
      <c r="M3" s="5"/>
    </row>
    <row r="4" spans="1:19" ht="18">
      <c r="A4" s="975"/>
      <c r="B4" s="975"/>
      <c r="C4" s="975"/>
      <c r="D4" s="975"/>
      <c r="E4" s="975"/>
      <c r="F4" s="975"/>
      <c r="G4" s="975"/>
      <c r="H4" s="975"/>
      <c r="I4" s="975"/>
      <c r="J4" s="4"/>
      <c r="K4" s="4"/>
      <c r="L4" s="4"/>
      <c r="M4" s="4"/>
      <c r="N4" s="4"/>
      <c r="O4" s="4"/>
      <c r="P4" s="6"/>
    </row>
    <row r="5" spans="1:19">
      <c r="A5" s="7"/>
      <c r="B5" s="8"/>
      <c r="C5" s="7"/>
      <c r="D5" s="7"/>
      <c r="E5" s="7"/>
      <c r="F5" s="8"/>
      <c r="G5" s="8"/>
      <c r="H5" s="8"/>
      <c r="I5" s="7"/>
      <c r="J5" s="8"/>
      <c r="K5" s="9"/>
      <c r="L5" s="9"/>
      <c r="M5" s="10"/>
    </row>
    <row r="6" spans="1:19">
      <c r="A6" s="11"/>
      <c r="B6" s="11"/>
      <c r="C6" s="977" t="str">
        <f>+'Consolidado Resultados'!C5:H5</f>
        <v>Por el segundo trimestre de:</v>
      </c>
      <c r="D6" s="977"/>
      <c r="E6" s="977"/>
      <c r="F6" s="977"/>
      <c r="G6" s="977"/>
      <c r="H6" s="206"/>
      <c r="I6" s="173"/>
      <c r="J6" s="977" t="str">
        <f>+'Consolidado Resultados'!J5:O5</f>
        <v>A c u m u l a d o:</v>
      </c>
      <c r="K6" s="977"/>
      <c r="L6" s="977"/>
      <c r="M6" s="977"/>
      <c r="N6" s="977"/>
    </row>
    <row r="7" spans="1:19">
      <c r="A7" s="11"/>
      <c r="B7" s="11"/>
      <c r="C7" s="172"/>
      <c r="D7" s="172"/>
      <c r="E7" s="172"/>
      <c r="F7" s="12"/>
      <c r="G7" s="12"/>
      <c r="H7" s="12"/>
      <c r="I7" s="173"/>
      <c r="J7" s="172"/>
      <c r="K7" s="172"/>
      <c r="L7" s="172"/>
      <c r="M7" s="12"/>
    </row>
    <row r="8" spans="1:19">
      <c r="A8" s="14"/>
      <c r="B8" s="15"/>
      <c r="C8" s="75" t="s">
        <v>146</v>
      </c>
      <c r="D8" s="17" t="s">
        <v>4</v>
      </c>
      <c r="E8" s="90">
        <v>2015</v>
      </c>
      <c r="F8" s="17" t="s">
        <v>4</v>
      </c>
      <c r="G8" s="17" t="s">
        <v>111</v>
      </c>
      <c r="H8" s="183"/>
      <c r="I8" s="173"/>
      <c r="J8" s="75" t="str">
        <f>+C8</f>
        <v>2016 (A)</v>
      </c>
      <c r="K8" s="17" t="s">
        <v>4</v>
      </c>
      <c r="L8" s="91">
        <f>+E8</f>
        <v>2015</v>
      </c>
      <c r="M8" s="17" t="s">
        <v>4</v>
      </c>
      <c r="N8" s="17" t="s">
        <v>81</v>
      </c>
      <c r="R8" s="20"/>
      <c r="S8" s="20"/>
    </row>
    <row r="9" spans="1:19">
      <c r="A9" s="25" t="s">
        <v>5</v>
      </c>
      <c r="B9" s="25"/>
      <c r="C9" s="178">
        <f>+'Consolidado Resultados'!C7-C15</f>
        <v>114801</v>
      </c>
      <c r="D9" s="32">
        <f>((+C9/C$9)*100)</f>
        <v>100</v>
      </c>
      <c r="E9" s="178">
        <f>+'Consolidado Resultados'!E7</f>
        <v>94543</v>
      </c>
      <c r="F9" s="32">
        <f>((+E9/E$9)*100)</f>
        <v>100</v>
      </c>
      <c r="G9" s="174">
        <f t="shared" ref="G9:G14" si="0">IF((((C9/E9)-1)*100)&gt;=100,"N.A.",(IF((((C9/E9)-1)*100)&lt;=-100,"N.A.",(((C9/E9)-1)*100))))</f>
        <v>21.427287054567756</v>
      </c>
      <c r="H9" s="33"/>
      <c r="I9" s="31"/>
      <c r="J9" s="178">
        <v>219261</v>
      </c>
      <c r="K9" s="32">
        <f>((+J9/J$9)*100)</f>
        <v>100</v>
      </c>
      <c r="L9" s="178">
        <f>+'Consolidado Resultados'!L7</f>
        <v>180015</v>
      </c>
      <c r="M9" s="32">
        <f>((+L9/L$9)*100)</f>
        <v>100</v>
      </c>
      <c r="N9" s="33">
        <f t="shared" ref="N9:N10" si="1">IF((((J9/L9)-1)*100)&gt;=100,"N.S.",(IF((((J9/L9)-1)*100)&lt;=-100,"N.S.",(((J9/L9)-1)*100))))</f>
        <v>21.801516540288301</v>
      </c>
      <c r="O9" s="20"/>
      <c r="P9" s="30"/>
    </row>
    <row r="10" spans="1:19" s="76" customFormat="1" ht="17.5">
      <c r="A10" s="124" t="s">
        <v>83</v>
      </c>
      <c r="B10" s="125"/>
      <c r="C10" s="179">
        <f>+'Consolidado Resultados'!C13-C19</f>
        <v>10425</v>
      </c>
      <c r="D10" s="123">
        <f>ROUND(((+C10/C$9)*100),1)</f>
        <v>9.1</v>
      </c>
      <c r="E10" s="179">
        <f>+'Consolidado Resultados'!E13</f>
        <v>9409</v>
      </c>
      <c r="F10" s="123">
        <f>ROUND(((+E10/E$9)*100),1)</f>
        <v>10</v>
      </c>
      <c r="G10" s="174">
        <f t="shared" si="0"/>
        <v>10.798171963014136</v>
      </c>
      <c r="H10" s="184"/>
      <c r="I10" s="115"/>
      <c r="J10" s="179">
        <v>18271.779985283298</v>
      </c>
      <c r="K10" s="123">
        <f>ROUND(((+J10/J$9)*100),1)</f>
        <v>8.3000000000000007</v>
      </c>
      <c r="L10" s="179">
        <f>+'Consolidado Resultados'!L13</f>
        <v>16185</v>
      </c>
      <c r="M10" s="123">
        <f>ROUND(((+L10/L$9)*100),1)</f>
        <v>9</v>
      </c>
      <c r="N10" s="174">
        <f t="shared" si="1"/>
        <v>12.893296171042934</v>
      </c>
    </row>
    <row r="11" spans="1:19" ht="15.75" customHeight="1">
      <c r="A11" s="67" t="s">
        <v>63</v>
      </c>
      <c r="B11" s="25"/>
      <c r="C11" s="180">
        <f>+'Consolidado Resultados'!C32-C23</f>
        <v>15284</v>
      </c>
      <c r="D11" s="69">
        <f>ROUND(((+C11/C$9)*100),1)</f>
        <v>13.3</v>
      </c>
      <c r="E11" s="181">
        <f>+'Consolidado Resultados'!E32</f>
        <v>12835</v>
      </c>
      <c r="F11" s="69">
        <f>ROUND(((+E11/E$9)*100),1)</f>
        <v>13.6</v>
      </c>
      <c r="G11" s="177">
        <f t="shared" si="0"/>
        <v>19.080638878067791</v>
      </c>
      <c r="H11" s="185"/>
      <c r="I11" s="115"/>
      <c r="J11" s="178">
        <v>27556.149044205496</v>
      </c>
      <c r="K11" s="69">
        <f>ROUND(((+J11/J$9)*100),1)</f>
        <v>12.6</v>
      </c>
      <c r="L11" s="178">
        <f>+'Consolidado Resultados'!L32</f>
        <v>22964</v>
      </c>
      <c r="M11" s="69">
        <f>ROUND(((+L11/L$9)*100),1)</f>
        <v>12.8</v>
      </c>
      <c r="N11" s="177">
        <f>IF((((J11/L11)-1)*100)&gt;=100,"N.S.",(IF((((J11/L11)-1)*100)&lt;=-100,"N.S.",(((J11/L11)-1)*100))))</f>
        <v>19.9971653205256</v>
      </c>
    </row>
    <row r="12" spans="1:19">
      <c r="A12" s="6"/>
      <c r="C12" s="84"/>
      <c r="D12" s="6"/>
      <c r="E12" s="6"/>
      <c r="I12" s="6"/>
      <c r="J12" s="171"/>
      <c r="K12" s="60"/>
    </row>
    <row r="13" spans="1:19">
      <c r="A13" s="6" t="s">
        <v>122</v>
      </c>
      <c r="C13" s="116">
        <v>0</v>
      </c>
      <c r="D13" s="6"/>
      <c r="E13" s="116">
        <v>0</v>
      </c>
      <c r="G13" s="33" t="e">
        <f t="shared" si="0"/>
        <v>#DIV/0!</v>
      </c>
      <c r="I13" s="6"/>
      <c r="J13" s="98">
        <v>38706</v>
      </c>
      <c r="L13" s="98">
        <v>33561</v>
      </c>
      <c r="N13" s="33">
        <f t="shared" ref="N13:N14" si="2">IF((((J13/L13)-1)*100)&gt;=100,"N.A.",(IF((((J13/L13)-1)*100)&lt;=-100,"N.A.",(((J13/L13)-1)*100))))</f>
        <v>15.330294091356045</v>
      </c>
    </row>
    <row r="14" spans="1:19">
      <c r="A14" s="6" t="s">
        <v>123</v>
      </c>
      <c r="C14" s="116">
        <v>0</v>
      </c>
      <c r="D14" s="6"/>
      <c r="E14" s="116">
        <v>0</v>
      </c>
      <c r="G14" s="33" t="e">
        <f t="shared" si="0"/>
        <v>#DIV/0!</v>
      </c>
      <c r="H14" s="32"/>
      <c r="I14" s="6"/>
      <c r="J14" s="98">
        <v>33947</v>
      </c>
      <c r="L14" s="98">
        <v>33561</v>
      </c>
      <c r="N14" s="33">
        <f t="shared" si="2"/>
        <v>1.1501445129763699</v>
      </c>
    </row>
    <row r="15" spans="1:19">
      <c r="C15" s="66">
        <f>C13-C14</f>
        <v>0</v>
      </c>
      <c r="D15" s="66"/>
      <c r="E15" s="66">
        <f>E13-E14</f>
        <v>0</v>
      </c>
      <c r="I15" s="6"/>
      <c r="J15" s="66">
        <f>J13-J14</f>
        <v>4759</v>
      </c>
      <c r="L15" s="66">
        <f>L13-L14</f>
        <v>0</v>
      </c>
      <c r="N15" s="6"/>
    </row>
    <row r="16" spans="1:19">
      <c r="D16" s="6"/>
      <c r="E16" s="6"/>
      <c r="I16" s="6"/>
      <c r="N16" s="6"/>
    </row>
    <row r="17" spans="1:14">
      <c r="A17" s="6" t="s">
        <v>124</v>
      </c>
      <c r="C17" s="116">
        <v>0</v>
      </c>
      <c r="D17" s="42"/>
      <c r="E17" s="116">
        <v>0</v>
      </c>
      <c r="G17" s="33" t="e">
        <f t="shared" ref="G17:G18" si="3">IF((((C17/E17)-1)*100)&gt;=100,"N.A.",(IF((((C17/E17)-1)*100)&lt;=-100,"N.A.",(((C17/E17)-1)*100))))</f>
        <v>#DIV/0!</v>
      </c>
      <c r="I17" s="6"/>
      <c r="J17" s="98">
        <v>4809</v>
      </c>
      <c r="L17" s="98">
        <v>4074</v>
      </c>
      <c r="N17" s="33">
        <f t="shared" ref="N17:N18" si="4">IF((((J17/L17)-1)*100)&gt;=100,"N.A.",(IF((((J17/L17)-1)*100)&lt;=-100,"N.A.",(((J17/L17)-1)*100))))</f>
        <v>18.041237113402065</v>
      </c>
    </row>
    <row r="18" spans="1:14">
      <c r="A18" s="6" t="s">
        <v>125</v>
      </c>
      <c r="C18" s="214">
        <v>0</v>
      </c>
      <c r="D18" s="98"/>
      <c r="E18" s="214">
        <v>0</v>
      </c>
      <c r="G18" s="33" t="e">
        <f t="shared" si="3"/>
        <v>#DIV/0!</v>
      </c>
      <c r="H18" s="32"/>
      <c r="J18" s="98">
        <v>4376</v>
      </c>
      <c r="L18" s="98">
        <v>4077</v>
      </c>
      <c r="N18" s="33">
        <f t="shared" si="4"/>
        <v>7.3338238901152764</v>
      </c>
    </row>
    <row r="19" spans="1:14">
      <c r="A19" s="6"/>
      <c r="C19" s="66">
        <f>C17-C18</f>
        <v>0</v>
      </c>
      <c r="D19" s="98"/>
      <c r="E19" s="66"/>
      <c r="G19" s="33"/>
      <c r="J19" s="66">
        <f>J17-J18</f>
        <v>433</v>
      </c>
      <c r="K19" s="98"/>
      <c r="L19" s="66">
        <f>L17-L18</f>
        <v>-3</v>
      </c>
      <c r="N19" s="33"/>
    </row>
    <row r="20" spans="1:14">
      <c r="E20" s="66"/>
      <c r="N20" s="6"/>
    </row>
    <row r="21" spans="1:14">
      <c r="A21" s="6" t="s">
        <v>63</v>
      </c>
      <c r="C21" s="215">
        <v>0</v>
      </c>
      <c r="D21" s="86"/>
      <c r="E21" s="215">
        <v>0</v>
      </c>
      <c r="F21" s="32"/>
      <c r="G21" s="33" t="e">
        <f t="shared" ref="G21:G22" si="5">IF((((C21/E21)-1)*100)&gt;=100,"N.A.",(IF((((C21/E21)-1)*100)&lt;=-100,"N.A.",(((C21/E21)-1)*100))))</f>
        <v>#DIV/0!</v>
      </c>
      <c r="H21" s="32"/>
      <c r="J21" s="98">
        <v>6767</v>
      </c>
      <c r="L21" s="98">
        <v>10041</v>
      </c>
      <c r="N21" s="33">
        <f t="shared" ref="N21:N22" si="6">IF((((J21/L21)-1)*100)&gt;=100,"N.A.",(IF((((J21/L21)-1)*100)&lt;=-100,"N.A.",(((J21/L21)-1)*100))))</f>
        <v>-32.606314112140225</v>
      </c>
    </row>
    <row r="22" spans="1:14">
      <c r="A22" s="6" t="s">
        <v>126</v>
      </c>
      <c r="C22" s="215">
        <v>0</v>
      </c>
      <c r="E22" s="215">
        <v>0</v>
      </c>
      <c r="G22" s="33" t="e">
        <f t="shared" si="5"/>
        <v>#DIV/0!</v>
      </c>
      <c r="H22" s="32"/>
      <c r="J22" s="98">
        <v>6197</v>
      </c>
      <c r="L22" s="98">
        <v>10044</v>
      </c>
      <c r="N22" s="33">
        <f t="shared" si="6"/>
        <v>-38.301473516527281</v>
      </c>
    </row>
    <row r="23" spans="1:14">
      <c r="C23" s="211">
        <f>C21-C22</f>
        <v>0</v>
      </c>
      <c r="J23" s="66">
        <f>J21-J22</f>
        <v>570</v>
      </c>
      <c r="K23" s="98"/>
      <c r="L23" s="66">
        <f>L21-L22</f>
        <v>-3</v>
      </c>
    </row>
    <row r="25" spans="1:14">
      <c r="A25" s="76"/>
      <c r="B25" s="77"/>
      <c r="C25" s="76"/>
      <c r="D25" s="76"/>
      <c r="E25" s="76"/>
      <c r="F25" s="77"/>
      <c r="G25" s="77"/>
      <c r="H25" s="77"/>
      <c r="I25" s="76"/>
      <c r="J25" s="76"/>
      <c r="K25" s="76"/>
      <c r="L25" s="76"/>
      <c r="M25" s="76"/>
      <c r="N25" s="76"/>
    </row>
    <row r="26" spans="1:14">
      <c r="A26" s="77" t="s">
        <v>147</v>
      </c>
      <c r="B26" s="77"/>
      <c r="C26" s="214">
        <v>0</v>
      </c>
      <c r="D26" s="76"/>
      <c r="E26" s="214">
        <v>0</v>
      </c>
      <c r="F26" s="77"/>
      <c r="G26" s="184" t="e">
        <f>IF((((C26/E26)-1)*100)&gt;=100,"N.A.",(IF((((C26/E26)-1)*100)&lt;=-100,"N.A.",(((C26/E26)-1)*100))))</f>
        <v>#DIV/0!</v>
      </c>
      <c r="H26" s="77"/>
      <c r="I26" s="76"/>
      <c r="J26" s="214">
        <v>0</v>
      </c>
      <c r="K26" s="76"/>
      <c r="L26" s="214">
        <v>0</v>
      </c>
      <c r="M26" s="76"/>
      <c r="N26" s="184" t="e">
        <f t="shared" ref="N26:N27" si="7">IF((((J26/L26)-1)*100)&gt;=100,"N.A.",(IF((((J26/L26)-1)*100)&lt;=-100,"N.A.",(((J26/L26)-1)*100))))</f>
        <v>#DIV/0!</v>
      </c>
    </row>
    <row r="27" spans="1:14">
      <c r="A27" s="77" t="s">
        <v>127</v>
      </c>
      <c r="B27" s="77"/>
      <c r="C27" s="214">
        <v>-94</v>
      </c>
      <c r="D27" s="76"/>
      <c r="E27" s="207">
        <v>-87.088999999999999</v>
      </c>
      <c r="F27" s="77"/>
      <c r="G27" s="184">
        <f>IF((((C27/E27)-1)*100)&gt;=100,"N.A.",(IF((((C27/E27)-1)*100)&lt;=-100,"N.A.",(((C27/E27)-1)*100))))</f>
        <v>7.9355601740747961</v>
      </c>
      <c r="H27" s="77"/>
      <c r="I27" s="76"/>
      <c r="J27" s="214" t="e">
        <f>+#REF!/1000</f>
        <v>#REF!</v>
      </c>
      <c r="K27" s="76"/>
      <c r="L27" s="214">
        <f>+L26</f>
        <v>0</v>
      </c>
      <c r="M27" s="76"/>
      <c r="N27" s="184" t="e">
        <f t="shared" si="7"/>
        <v>#REF!</v>
      </c>
    </row>
    <row r="28" spans="1:14">
      <c r="A28" s="76"/>
      <c r="B28" s="77"/>
      <c r="C28" s="207">
        <f>C26-C27</f>
        <v>94</v>
      </c>
      <c r="D28" s="76"/>
      <c r="E28" s="207">
        <f>E26-E27</f>
        <v>87.088999999999999</v>
      </c>
      <c r="F28" s="77"/>
      <c r="G28" s="77"/>
      <c r="H28" s="77"/>
      <c r="I28" s="76"/>
      <c r="J28" s="207" t="e">
        <f>J26-J27</f>
        <v>#REF!</v>
      </c>
      <c r="K28" s="76"/>
      <c r="L28" s="76"/>
      <c r="M28" s="76"/>
      <c r="N28" s="76"/>
    </row>
    <row r="29" spans="1:14">
      <c r="A29" s="76"/>
      <c r="B29" s="77"/>
      <c r="C29" s="76"/>
      <c r="D29" s="76"/>
      <c r="E29" s="76"/>
      <c r="F29" s="77"/>
      <c r="G29" s="77"/>
      <c r="H29" s="77"/>
      <c r="I29" s="76"/>
      <c r="J29" s="76"/>
      <c r="K29" s="76"/>
      <c r="L29" s="76"/>
      <c r="M29" s="76"/>
      <c r="N29" s="76"/>
    </row>
    <row r="30" spans="1:14">
      <c r="A30" s="77" t="s">
        <v>128</v>
      </c>
      <c r="B30" s="77"/>
      <c r="C30" s="214">
        <v>0</v>
      </c>
      <c r="D30" s="76"/>
      <c r="E30" s="214">
        <v>0</v>
      </c>
      <c r="F30" s="77"/>
      <c r="G30" s="184" t="e">
        <f t="shared" ref="G30:G31" si="8">IF((((C30/E30)-1)*100)&gt;=100,"N.A.",(IF((((C30/E30)-1)*100)&lt;=-100,"N.A.",(((C30/E30)-1)*100))))</f>
        <v>#DIV/0!</v>
      </c>
      <c r="H30" s="89" t="e">
        <f>+C30/C26</f>
        <v>#DIV/0!</v>
      </c>
      <c r="I30" s="89" t="e">
        <f>+E30/E26</f>
        <v>#DIV/0!</v>
      </c>
      <c r="J30" s="214" t="e">
        <f>+#REF!</f>
        <v>#REF!</v>
      </c>
      <c r="K30" s="76"/>
      <c r="L30" s="214" t="e">
        <f>+#REF!</f>
        <v>#REF!</v>
      </c>
      <c r="M30" s="76"/>
      <c r="N30" s="184" t="e">
        <f t="shared" ref="N30:N31" si="9">IF((((J30/L30)-1)*100)&gt;=100,"N.A.",(IF((((J30/L30)-1)*100)&lt;=-100,"N.A.",(((J30/L30)-1)*100))))</f>
        <v>#REF!</v>
      </c>
    </row>
    <row r="31" spans="1:14">
      <c r="A31" s="77" t="s">
        <v>129</v>
      </c>
      <c r="B31" s="77"/>
      <c r="C31" s="214">
        <v>0</v>
      </c>
      <c r="D31" s="76"/>
      <c r="E31" s="214">
        <v>0</v>
      </c>
      <c r="F31" s="77"/>
      <c r="G31" s="184" t="e">
        <f t="shared" si="8"/>
        <v>#DIV/0!</v>
      </c>
      <c r="H31" s="89"/>
      <c r="I31" s="250"/>
      <c r="J31" s="214" t="e">
        <f>+#REF!/1000</f>
        <v>#REF!</v>
      </c>
      <c r="K31" s="76"/>
      <c r="L31" s="207" t="e">
        <f>+L30</f>
        <v>#REF!</v>
      </c>
      <c r="M31" s="76"/>
      <c r="N31" s="184" t="e">
        <f t="shared" si="9"/>
        <v>#REF!</v>
      </c>
    </row>
    <row r="32" spans="1:14">
      <c r="A32" s="76"/>
      <c r="B32" s="77"/>
      <c r="C32" s="207">
        <f>C30-C31</f>
        <v>0</v>
      </c>
      <c r="D32" s="76"/>
      <c r="E32" s="207">
        <f>E30-E31</f>
        <v>0</v>
      </c>
      <c r="F32" s="77"/>
      <c r="G32" s="77"/>
      <c r="H32" s="89"/>
      <c r="I32" s="250"/>
      <c r="J32" s="207" t="e">
        <f>J30-J31</f>
        <v>#REF!</v>
      </c>
      <c r="K32" s="76"/>
      <c r="L32" s="76"/>
      <c r="M32" s="76"/>
      <c r="N32" s="76"/>
    </row>
    <row r="33" spans="1:23">
      <c r="A33" s="76"/>
      <c r="B33" s="77"/>
      <c r="C33" s="207"/>
      <c r="D33" s="76"/>
      <c r="E33" s="76"/>
      <c r="F33" s="77"/>
      <c r="G33" s="77"/>
      <c r="H33" s="89"/>
      <c r="I33" s="250"/>
      <c r="J33" s="207"/>
      <c r="K33" s="76"/>
      <c r="L33" s="76"/>
      <c r="M33" s="76"/>
      <c r="N33" s="76"/>
    </row>
    <row r="34" spans="1:23">
      <c r="A34" s="77" t="s">
        <v>131</v>
      </c>
      <c r="B34" s="77"/>
      <c r="C34" s="207">
        <v>0</v>
      </c>
      <c r="D34" s="76"/>
      <c r="E34" s="207">
        <v>0</v>
      </c>
      <c r="F34" s="77"/>
      <c r="G34" s="184" t="e">
        <f t="shared" ref="G34:G35" si="10">IF((((C34/E34)-1)*100)&gt;=100,"N.A.",(IF((((C34/E34)-1)*100)&lt;=-100,"N.A.",(((C34/E34)-1)*100))))</f>
        <v>#DIV/0!</v>
      </c>
      <c r="H34" s="89" t="e">
        <f>+C34/C26</f>
        <v>#DIV/0!</v>
      </c>
      <c r="I34" s="89" t="e">
        <f>+E34/E26</f>
        <v>#DIV/0!</v>
      </c>
      <c r="J34" s="207" t="e">
        <f>+#REF!</f>
        <v>#REF!</v>
      </c>
      <c r="K34" s="76"/>
      <c r="L34" s="76" t="e">
        <f>+#REF!</f>
        <v>#REF!</v>
      </c>
      <c r="M34" s="76"/>
      <c r="N34" s="184" t="e">
        <f t="shared" ref="N34:N35" si="11">IF((((J34/L34)-1)*100)&gt;=100,"N.A.",(IF((((J34/L34)-1)*100)&lt;=-100,"N.A.",(((J34/L34)-1)*100))))</f>
        <v>#REF!</v>
      </c>
    </row>
    <row r="35" spans="1:23">
      <c r="A35" s="77" t="s">
        <v>132</v>
      </c>
      <c r="B35" s="77"/>
      <c r="C35" s="207">
        <v>0</v>
      </c>
      <c r="D35" s="76"/>
      <c r="E35" s="207">
        <v>-0.34</v>
      </c>
      <c r="F35" s="77"/>
      <c r="G35" s="184" t="str">
        <f t="shared" si="10"/>
        <v>N.A.</v>
      </c>
      <c r="H35" s="77"/>
      <c r="I35" s="76"/>
      <c r="J35" s="207" t="e">
        <f>+#REF!/1000</f>
        <v>#REF!</v>
      </c>
      <c r="K35" s="76"/>
      <c r="L35" s="76" t="e">
        <f>+L34</f>
        <v>#REF!</v>
      </c>
      <c r="M35" s="76"/>
      <c r="N35" s="184" t="e">
        <f t="shared" si="11"/>
        <v>#REF!</v>
      </c>
    </row>
    <row r="36" spans="1:23">
      <c r="A36" s="76"/>
      <c r="B36" s="77"/>
      <c r="C36" s="207">
        <f>C34-C35</f>
        <v>0</v>
      </c>
      <c r="D36" s="76"/>
      <c r="E36" s="207">
        <f>E34-E35</f>
        <v>0.34</v>
      </c>
      <c r="F36" s="77"/>
      <c r="G36" s="77"/>
      <c r="H36" s="77"/>
      <c r="I36" s="76"/>
      <c r="J36" s="207" t="e">
        <f>J34-J35</f>
        <v>#REF!</v>
      </c>
      <c r="K36" s="76"/>
      <c r="L36" s="76"/>
      <c r="M36" s="76"/>
      <c r="N36" s="76"/>
    </row>
    <row r="38" spans="1:23">
      <c r="A38" s="114" t="s">
        <v>5</v>
      </c>
      <c r="B38" s="77"/>
      <c r="C38" s="207">
        <f>+C46</f>
        <v>111773.16961972047</v>
      </c>
      <c r="D38" s="76"/>
      <c r="E38" s="207">
        <f>+E46</f>
        <v>100701.22455577392</v>
      </c>
      <c r="F38" s="77"/>
      <c r="G38" s="184">
        <f>IF((((C38/E38)-1)*100)&gt;=200,"N.S.",(IF((((C38/E38)-1)*100)&lt;=-200,"N.S.",(((C38/E38)-1)*100))))</f>
        <v>10.994846500415978</v>
      </c>
      <c r="H38" s="77"/>
      <c r="I38" s="76"/>
      <c r="J38" s="207">
        <f>+K46</f>
        <v>218201.7959752435</v>
      </c>
      <c r="K38" s="76"/>
      <c r="L38" s="207">
        <f>+M46</f>
        <v>191785.7109739125</v>
      </c>
      <c r="M38" s="76"/>
      <c r="N38" s="184">
        <f>IF((((J38/L38)-1)*100)&gt;=200,"N.S.",(IF((((J38/L38)-1)*100)&lt;=-200,"N.S.",(((J38/L38)-1)*100))))</f>
        <v>13.773750331652312</v>
      </c>
    </row>
    <row r="39" spans="1:23" ht="17.5">
      <c r="A39" s="124" t="s">
        <v>83</v>
      </c>
      <c r="B39" s="77"/>
      <c r="C39" s="207">
        <f>+C50</f>
        <v>9988.3044935071248</v>
      </c>
      <c r="D39" s="76"/>
      <c r="E39" s="207">
        <f>+E50</f>
        <v>9863.4154055595409</v>
      </c>
      <c r="F39" s="77"/>
      <c r="G39" s="184">
        <f>IF((((C39/E39)-1)*100)&gt;=200,"N.S.",(IF((((C39/E39)-1)*100)&lt;=-200,"N.S.",(((C39/E39)-1)*100))))</f>
        <v>1.2661850161678201</v>
      </c>
      <c r="H39" s="77"/>
      <c r="I39" s="207">
        <f>+C39-E39</f>
        <v>124.8890879475839</v>
      </c>
      <c r="J39" s="207">
        <f>+K50</f>
        <v>17493.238644336379</v>
      </c>
      <c r="K39" s="76"/>
      <c r="L39" s="207">
        <f>+M50</f>
        <v>16845.48244864681</v>
      </c>
      <c r="M39" s="76"/>
      <c r="N39" s="184">
        <f>IF((((J39/L39)-1)*100)&gt;=200,"N.S.",(IF((((J39/L39)-1)*100)&lt;=-200,"N.S.",(((J39/L39)-1)*100))))</f>
        <v>3.8452813545960751</v>
      </c>
    </row>
    <row r="40" spans="1:23" ht="17.5">
      <c r="A40" s="124" t="s">
        <v>130</v>
      </c>
      <c r="B40" s="77"/>
      <c r="C40" s="207">
        <f>+C54</f>
        <v>14787.045937169349</v>
      </c>
      <c r="D40" s="76"/>
      <c r="E40" s="207">
        <f>+E54</f>
        <v>13842.906839394962</v>
      </c>
      <c r="F40" s="77"/>
      <c r="G40" s="184">
        <f>IF((((C40/E40)-1)*100)&gt;=200,"N.S.",(IF((((C40/E40)-1)*100)&lt;=-200,"N.S.",(((C40/E40)-1)*100))))</f>
        <v>6.8203817935659217</v>
      </c>
      <c r="H40" s="77"/>
      <c r="I40" s="207">
        <f>+C40-E40</f>
        <v>944.13909777438676</v>
      </c>
      <c r="J40" s="207">
        <f>+K54</f>
        <v>26951.279678894025</v>
      </c>
      <c r="K40" s="76"/>
      <c r="L40" s="207">
        <f>+M54</f>
        <v>24728.75292331311</v>
      </c>
      <c r="M40" s="76"/>
      <c r="N40" s="184">
        <f>IF((((J40/L40)-1)*100)&gt;=200,"N.S.",(IF((((J40/L40)-1)*100)&lt;=-200,"N.S.",(((J40/L40)-1)*100))))</f>
        <v>8.9876216664594555</v>
      </c>
    </row>
    <row r="42" spans="1:23">
      <c r="C42" s="977" t="str">
        <f>+C6</f>
        <v>Por el segundo trimestre de:</v>
      </c>
      <c r="D42" s="977"/>
      <c r="E42" s="977"/>
      <c r="F42" s="977"/>
      <c r="G42" s="977"/>
      <c r="J42" s="977" t="str">
        <f>+J6</f>
        <v>A c u m u l a d o:</v>
      </c>
      <c r="K42" s="977"/>
      <c r="L42" s="977"/>
      <c r="M42" s="977"/>
      <c r="N42" s="977"/>
      <c r="Q42" s="2" t="s">
        <v>158</v>
      </c>
    </row>
    <row r="44" spans="1:23">
      <c r="A44" s="2" t="s">
        <v>152</v>
      </c>
      <c r="C44" s="85">
        <v>2017</v>
      </c>
      <c r="D44" s="85"/>
      <c r="E44" s="85">
        <v>2016</v>
      </c>
      <c r="F44" s="1"/>
      <c r="G44" s="1" t="s">
        <v>154</v>
      </c>
      <c r="K44" s="85">
        <v>2016</v>
      </c>
      <c r="L44" s="85"/>
      <c r="M44" s="85">
        <v>2015</v>
      </c>
      <c r="N44" s="1"/>
      <c r="O44" s="1" t="s">
        <v>154</v>
      </c>
      <c r="Q44" s="2" t="s">
        <v>152</v>
      </c>
      <c r="S44" s="2">
        <v>2016</v>
      </c>
      <c r="U44" s="2">
        <v>2015</v>
      </c>
      <c r="W44" s="2" t="s">
        <v>162</v>
      </c>
    </row>
    <row r="45" spans="1:23">
      <c r="A45" s="2" t="s">
        <v>155</v>
      </c>
      <c r="C45" s="98">
        <f>+'Consolidado Resultados'!C7</f>
        <v>114801</v>
      </c>
      <c r="D45" s="98"/>
      <c r="E45" s="98">
        <f>+'Consolidado Resultados'!E7</f>
        <v>94543</v>
      </c>
      <c r="G45" s="184">
        <f>IF((((C45/E45)-1)*100)&gt;=100,"N.A.",(IF((((C45/E45)-1)*100)&lt;=-100,"N.A.",(((C45/E45)-1)*100))))</f>
        <v>21.427287054567756</v>
      </c>
      <c r="K45" s="98">
        <f>+'Consolidado Resultados'!J7</f>
        <v>224020</v>
      </c>
      <c r="L45" s="98"/>
      <c r="M45" s="98">
        <f>+'Consolidado Resultados'!L7</f>
        <v>180015</v>
      </c>
      <c r="N45" s="6"/>
      <c r="O45" s="184">
        <f>IF((((K45/M45)-1)*100)&gt;=100,"N.A.",(IF((((K45/M45)-1)*100)&lt;=-100,"N.A.",(((K45/M45)-1)*100))))</f>
        <v>24.445185123461943</v>
      </c>
      <c r="Q45" s="2" t="s">
        <v>160</v>
      </c>
      <c r="S45" s="2">
        <f>+'FEMSA Comercio-Div Combustibles'!C7</f>
        <v>9473.2659999999996</v>
      </c>
      <c r="U45" s="2">
        <f>+'FEMSA Comercio-Div Combustibles'!E7</f>
        <v>6936.7479999999996</v>
      </c>
      <c r="W45" s="184">
        <f>IF((((S45/U45)-1)*100)&gt;=1000,"N.A.",(IF((((S45/U45)-1)*100)&lt;=-1000,"N.A.",(((S45/U45)-1)*100))))</f>
        <v>36.56638528601588</v>
      </c>
    </row>
    <row r="46" spans="1:23">
      <c r="A46" s="2" t="s">
        <v>156</v>
      </c>
      <c r="C46" s="20">
        <f>+C45-C60-C61-C62</f>
        <v>111773.16961972047</v>
      </c>
      <c r="E46" s="98">
        <f>+E45+C68</f>
        <v>100701.22455577392</v>
      </c>
      <c r="G46" s="184">
        <f>IF((((C46/E46)-1)*100)&gt;=100,"N.A.",(IF((((C46/E46)-1)*100)&lt;=-100,"N.A.",(((C46/E46)-1)*100))))</f>
        <v>10.994846500415978</v>
      </c>
      <c r="K46" s="20">
        <f>+K45-K60-K61-K62-K63+K64</f>
        <v>218201.7959752435</v>
      </c>
      <c r="M46" s="98">
        <f>+M45+K67</f>
        <v>191785.7109739125</v>
      </c>
      <c r="N46" s="6"/>
      <c r="O46" s="184">
        <f>IF((((K46/M46)-1)*100)&gt;=100,"N.A.",(IF((((K46/M46)-1)*100)&lt;=-100,"N.A.",(((K46/M46)-1)*100))))</f>
        <v>13.773750331652312</v>
      </c>
      <c r="Q46" s="2" t="s">
        <v>159</v>
      </c>
      <c r="S46" s="20" t="e">
        <f>+S45-#REF!</f>
        <v>#REF!</v>
      </c>
      <c r="U46" s="2">
        <f>+U45</f>
        <v>6936.7479999999996</v>
      </c>
      <c r="W46" s="184" t="e">
        <f>IF((((S46/U46)-1)*100)&gt;=1000,"N.A.",(IF((((S46/U46)-1)*100)&lt;=-1000,"N.A.",(((S46/U46)-1)*100))))</f>
        <v>#REF!</v>
      </c>
    </row>
    <row r="47" spans="1:23">
      <c r="N47" s="6"/>
      <c r="O47" s="6"/>
    </row>
    <row r="48" spans="1:23">
      <c r="A48" s="2" t="s">
        <v>157</v>
      </c>
      <c r="N48" s="6"/>
      <c r="O48" s="6"/>
      <c r="Q48" s="2" t="s">
        <v>161</v>
      </c>
    </row>
    <row r="49" spans="1:23">
      <c r="A49" s="2" t="s">
        <v>155</v>
      </c>
      <c r="C49" s="98">
        <f>+'Consolidado Resultados'!C13</f>
        <v>10425</v>
      </c>
      <c r="D49" s="98"/>
      <c r="E49" s="98">
        <f>+'Consolidado Resultados'!E13</f>
        <v>9409</v>
      </c>
      <c r="G49" s="184">
        <f>IF((((C49/E49)-1)*100)&gt;=100,"N.A.",(IF((((C49/E49)-1)*100)&lt;=-100,"N.A.",(((C49/E49)-1)*100))))</f>
        <v>10.798171963014136</v>
      </c>
      <c r="K49" s="98">
        <f>+'Consolidado Resultados'!J13</f>
        <v>18708</v>
      </c>
      <c r="L49" s="98"/>
      <c r="M49" s="98">
        <f>+'Consolidado Resultados'!L13</f>
        <v>16185</v>
      </c>
      <c r="N49" s="6"/>
      <c r="O49" s="184">
        <f>IF((((K49/M49)-1)*100)&gt;=100,"N.A.",(IF((((K49/M49)-1)*100)&lt;=-100,"N.A.",(((K49/M49)-1)*100))))</f>
        <v>15.588507877664505</v>
      </c>
      <c r="Q49" s="2" t="s">
        <v>160</v>
      </c>
      <c r="S49" s="2">
        <f>+'FEMSA Comercio-Div Combustibles'!C13</f>
        <v>2</v>
      </c>
      <c r="U49" s="2">
        <f>+'FEMSA Comercio-Div Combustibles'!E13</f>
        <v>59</v>
      </c>
      <c r="W49" s="184">
        <f>IF((((S49/U49)-1)*100)&gt;=1000,"N.A.",(IF((((S49/U49)-1)*100)&lt;=-1000,"N.A.",(((S49/U49)-1)*100))))</f>
        <v>-96.610169491525426</v>
      </c>
    </row>
    <row r="50" spans="1:23">
      <c r="A50" s="2" t="s">
        <v>156</v>
      </c>
      <c r="C50" s="98">
        <f>+C49-D60-D61-D62</f>
        <v>9988.3044935071248</v>
      </c>
      <c r="D50" s="98"/>
      <c r="E50" s="98">
        <f>+E49+D68</f>
        <v>9863.4154055595409</v>
      </c>
      <c r="G50" s="184">
        <f>IF((((C50/E50)-1)*100)&gt;=100,"N.A.",(IF((((C50/E50)-1)*100)&lt;=-100,"N.A.",(((C50/E50)-1)*100))))</f>
        <v>1.2661850161678201</v>
      </c>
      <c r="K50" s="98">
        <f>+K49-L60-L61-L62-L63+L64</f>
        <v>17493.238644336379</v>
      </c>
      <c r="L50" s="98"/>
      <c r="M50" s="98">
        <f>+M49+L67</f>
        <v>16845.48244864681</v>
      </c>
      <c r="N50" s="6"/>
      <c r="O50" s="184">
        <f>IF((((K50/M50)-1)*100)&gt;=100,"N.A.",(IF((((K50/M50)-1)*100)&lt;=-100,"N.A.",(((K50/M50)-1)*100))))</f>
        <v>3.8452813545960751</v>
      </c>
      <c r="Q50" s="2" t="s">
        <v>159</v>
      </c>
      <c r="S50" s="246" t="e">
        <f>+S49-#REF!</f>
        <v>#REF!</v>
      </c>
      <c r="U50" s="2">
        <f>+U49</f>
        <v>59</v>
      </c>
      <c r="W50" s="184" t="e">
        <f>IF((((S50/U50)-1)*100)&gt;=1000,"N.A.",(IF((((S50/U50)-1)*100)&lt;=-1000,"N.A.",(((S50/U50)-1)*100))))</f>
        <v>#REF!</v>
      </c>
    </row>
    <row r="51" spans="1:23">
      <c r="C51" s="98"/>
      <c r="D51" s="98"/>
      <c r="E51" s="98"/>
      <c r="K51" s="98"/>
      <c r="L51" s="98"/>
      <c r="M51" s="98"/>
      <c r="N51" s="6"/>
      <c r="O51" s="6"/>
    </row>
    <row r="52" spans="1:23">
      <c r="A52" s="2" t="s">
        <v>106</v>
      </c>
      <c r="C52" s="98"/>
      <c r="D52" s="98"/>
      <c r="E52" s="98"/>
      <c r="K52" s="98"/>
      <c r="L52" s="98"/>
      <c r="M52" s="98"/>
      <c r="N52" s="6"/>
      <c r="O52" s="6"/>
      <c r="Q52" s="2" t="s">
        <v>106</v>
      </c>
    </row>
    <row r="53" spans="1:23">
      <c r="A53" s="2" t="s">
        <v>155</v>
      </c>
      <c r="C53" s="98">
        <f>+'Consolidado Resultados'!C32</f>
        <v>15284</v>
      </c>
      <c r="D53" s="98"/>
      <c r="E53" s="98">
        <f>+'Consolidado Resultados'!E32</f>
        <v>12835</v>
      </c>
      <c r="G53" s="184">
        <f>IF((((C53/E53)-1)*100)&gt;=100,"N.A.",(IF((((C53/E53)-1)*100)&lt;=-100,"N.A.",(((C53/E53)-1)*100))))</f>
        <v>19.080638878067791</v>
      </c>
      <c r="K53" s="98">
        <f>+'Consolidado Resultados'!J32</f>
        <v>28128</v>
      </c>
      <c r="L53" s="98"/>
      <c r="M53" s="98">
        <f>+'Consolidado Resultados'!L32</f>
        <v>22964</v>
      </c>
      <c r="N53" s="6"/>
      <c r="O53" s="184">
        <f>IF((((K53/M53)-1)*100)&gt;=100,"N.A.",(IF((((K53/M53)-1)*100)&lt;=-100,"N.A.",(((K53/M53)-1)*100))))</f>
        <v>22.487371538059577</v>
      </c>
      <c r="Q53" s="2" t="s">
        <v>160</v>
      </c>
      <c r="S53" s="2">
        <f>+'FEMSA Comercio-Div Combustibles'!C16</f>
        <v>37</v>
      </c>
      <c r="U53" s="2">
        <f>+'FEMSA Comercio-Div Combustibles'!E16</f>
        <v>83</v>
      </c>
      <c r="W53" s="184">
        <f>IF((((S53/U53)-1)*100)&gt;=1000,"N.A.",(IF((((S53/U53)-1)*100)&lt;=-1000,"N.A.",(((S53/U53)-1)*100))))</f>
        <v>-55.421686746987952</v>
      </c>
    </row>
    <row r="54" spans="1:23">
      <c r="A54" s="2" t="s">
        <v>156</v>
      </c>
      <c r="C54" s="98">
        <f>+C53-E60-E61-E62</f>
        <v>14787.045937169349</v>
      </c>
      <c r="D54" s="98"/>
      <c r="E54" s="98">
        <f>+E53+E68</f>
        <v>13842.906839394962</v>
      </c>
      <c r="G54" s="184">
        <f>IF((((C54/E54)-1)*100)&gt;=100,"N.A.",(IF((((C54/E54)-1)*100)&lt;=-100,"N.A.",(((C54/E54)-1)*100))))</f>
        <v>6.8203817935659217</v>
      </c>
      <c r="K54" s="98">
        <f>+K53-M60-M61-M62-M63+M64</f>
        <v>26951.279678894025</v>
      </c>
      <c r="L54" s="98"/>
      <c r="M54" s="98">
        <f>+M53+M67</f>
        <v>24728.75292331311</v>
      </c>
      <c r="N54" s="6"/>
      <c r="O54" s="184">
        <f>IF((((K54/M54)-1)*100)&gt;=100,"N.A.",(IF((((K54/M54)-1)*100)&lt;=-100,"N.A.",(((K54/M54)-1)*100))))</f>
        <v>8.9876216664594555</v>
      </c>
      <c r="Q54" s="2" t="s">
        <v>159</v>
      </c>
      <c r="S54" s="246" t="e">
        <f>+S53-#REF!</f>
        <v>#REF!</v>
      </c>
      <c r="U54" s="2">
        <f>+U53</f>
        <v>83</v>
      </c>
      <c r="W54" s="184" t="e">
        <f>IF((((S54/U54)-1)*100)&gt;=1000,"N.A.",(IF((((S54/U54)-1)*100)&lt;=-1000,"N.A.",(((S54/U54)-1)*100))))</f>
        <v>#REF!</v>
      </c>
    </row>
    <row r="55" spans="1:23">
      <c r="W55" s="184"/>
    </row>
    <row r="58" spans="1:23">
      <c r="A58" s="247">
        <v>2017</v>
      </c>
      <c r="I58" s="85" t="s">
        <v>165</v>
      </c>
    </row>
    <row r="59" spans="1:23">
      <c r="C59" s="249" t="s">
        <v>152</v>
      </c>
      <c r="D59" s="249" t="s">
        <v>153</v>
      </c>
      <c r="E59" s="249" t="s">
        <v>106</v>
      </c>
      <c r="J59" s="6"/>
      <c r="K59" s="249" t="s">
        <v>152</v>
      </c>
      <c r="L59" s="249" t="s">
        <v>153</v>
      </c>
      <c r="M59" s="249" t="s">
        <v>106</v>
      </c>
      <c r="N59" s="249" t="s">
        <v>174</v>
      </c>
    </row>
    <row r="60" spans="1:23">
      <c r="A60" s="2" t="s">
        <v>173</v>
      </c>
      <c r="C60" s="98">
        <v>2272.6313802795316</v>
      </c>
      <c r="D60" s="98">
        <v>366.17250649287672</v>
      </c>
      <c r="E60" s="98">
        <v>411.36006283065041</v>
      </c>
      <c r="I60" s="2" t="s">
        <v>218</v>
      </c>
      <c r="J60" s="6"/>
      <c r="K60" s="98">
        <v>9518.3836512656835</v>
      </c>
      <c r="L60" s="98">
        <v>768.32315321559543</v>
      </c>
      <c r="M60" s="98">
        <v>1658.4933602954495</v>
      </c>
    </row>
    <row r="61" spans="1:23">
      <c r="A61" s="2" t="s">
        <v>172</v>
      </c>
      <c r="C61" s="98">
        <v>409.27100000000002</v>
      </c>
      <c r="D61" s="246">
        <v>28.48</v>
      </c>
      <c r="E61" s="246">
        <v>33.558</v>
      </c>
      <c r="I61" s="2" t="s">
        <v>171</v>
      </c>
      <c r="K61" s="246">
        <v>703.64300000000003</v>
      </c>
      <c r="L61" s="246">
        <v>86.126999999999995</v>
      </c>
      <c r="M61" s="246">
        <v>106.246</v>
      </c>
    </row>
    <row r="62" spans="1:23">
      <c r="A62" s="2" t="s">
        <v>241</v>
      </c>
      <c r="C62" s="246">
        <v>345.928</v>
      </c>
      <c r="D62" s="246">
        <v>42.042999999999999</v>
      </c>
      <c r="E62" s="246">
        <v>52.036000000000001</v>
      </c>
      <c r="I62" s="2" t="s">
        <v>172</v>
      </c>
      <c r="J62" s="6"/>
      <c r="K62" s="98">
        <v>834.28800000000001</v>
      </c>
      <c r="L62" s="246">
        <v>64.900999999999996</v>
      </c>
      <c r="M62" s="246">
        <v>77.537000000000006</v>
      </c>
    </row>
    <row r="63" spans="1:23">
      <c r="I63" s="2" t="s">
        <v>173</v>
      </c>
      <c r="K63" s="98">
        <v>5934.8676721427164</v>
      </c>
      <c r="L63" s="98">
        <v>1108.2691424764571</v>
      </c>
      <c r="M63" s="98">
        <v>1236.1203575478171</v>
      </c>
    </row>
    <row r="64" spans="1:23">
      <c r="A64" s="911"/>
      <c r="B64" s="912"/>
      <c r="C64" s="913"/>
      <c r="D64" s="914"/>
      <c r="E64" s="914"/>
      <c r="I64" s="911" t="s">
        <v>233</v>
      </c>
      <c r="K64" s="98">
        <v>11172.978298651908</v>
      </c>
      <c r="L64" s="98">
        <v>812.85894002843168</v>
      </c>
      <c r="M64" s="98">
        <v>1901.6763967372908</v>
      </c>
    </row>
    <row r="65" spans="1:14">
      <c r="C65" s="98"/>
      <c r="D65" s="246"/>
      <c r="E65" s="251"/>
    </row>
    <row r="66" spans="1:14">
      <c r="A66" s="247">
        <v>2016</v>
      </c>
      <c r="C66" s="249" t="s">
        <v>152</v>
      </c>
      <c r="D66" s="249" t="s">
        <v>153</v>
      </c>
      <c r="E66" s="249" t="s">
        <v>106</v>
      </c>
      <c r="I66" s="248">
        <v>2016</v>
      </c>
      <c r="J66" s="6"/>
      <c r="K66" s="249" t="s">
        <v>152</v>
      </c>
      <c r="L66" s="249" t="s">
        <v>153</v>
      </c>
      <c r="M66" s="249" t="s">
        <v>106</v>
      </c>
    </row>
    <row r="67" spans="1:14">
      <c r="C67" s="98"/>
      <c r="D67" s="246"/>
      <c r="E67" s="246"/>
      <c r="I67" s="2" t="s">
        <v>233</v>
      </c>
      <c r="J67" s="6"/>
      <c r="K67" s="98">
        <v>11770.710973912501</v>
      </c>
      <c r="L67" s="98">
        <v>660.48244864680998</v>
      </c>
      <c r="M67" s="98">
        <v>1764.7529233131099</v>
      </c>
    </row>
    <row r="68" spans="1:14">
      <c r="A68" s="2" t="s">
        <v>233</v>
      </c>
      <c r="C68" s="98">
        <v>6158.2245557739197</v>
      </c>
      <c r="D68" s="98">
        <v>454.415405559541</v>
      </c>
      <c r="E68" s="98">
        <v>1007.906839394962</v>
      </c>
    </row>
    <row r="71" spans="1:14">
      <c r="A71" s="248"/>
      <c r="C71" s="249"/>
      <c r="D71" s="249"/>
      <c r="E71" s="249"/>
    </row>
    <row r="72" spans="1:14">
      <c r="C72" s="246"/>
      <c r="D72" s="246"/>
      <c r="E72" s="246"/>
    </row>
    <row r="73" spans="1:14">
      <c r="K73" s="98"/>
      <c r="L73" s="98"/>
      <c r="M73" s="98"/>
    </row>
    <row r="74" spans="1:14">
      <c r="K74" s="98"/>
      <c r="L74" s="98"/>
      <c r="M74" s="98"/>
    </row>
    <row r="75" spans="1:14">
      <c r="N75" s="182"/>
    </row>
    <row r="76" spans="1:14">
      <c r="M76" s="20"/>
      <c r="N76" s="20"/>
    </row>
    <row r="77" spans="1:14">
      <c r="N77" s="20">
        <f>+N75-N76</f>
        <v>0</v>
      </c>
    </row>
    <row r="1048567" spans="3:3">
      <c r="C1048567" s="216"/>
    </row>
  </sheetData>
  <mergeCells count="8">
    <mergeCell ref="C42:G42"/>
    <mergeCell ref="J42:N42"/>
    <mergeCell ref="J6:N6"/>
    <mergeCell ref="A1:I1"/>
    <mergeCell ref="A2:I2"/>
    <mergeCell ref="A3:I3"/>
    <mergeCell ref="A4:I4"/>
    <mergeCell ref="C6:G6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 sizeWithCells="1">
              <from>
                <xdr:col>4</xdr:col>
                <xdr:colOff>0</xdr:colOff>
                <xdr:row>11</xdr:row>
                <xdr:rowOff>0</xdr:rowOff>
              </from>
              <to>
                <xdr:col>4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14337" r:id="rId4"/>
      </mc:Fallback>
    </mc:AlternateContent>
    <mc:AlternateContent xmlns:mc="http://schemas.openxmlformats.org/markup-compatibility/2006">
      <mc:Choice Requires="x14">
        <oleObject progId="Word.Picture.8" shapeId="14338" r:id="rId6">
          <objectPr defaultSize="0" autoPict="0" r:id="rId5">
            <anchor moveWithCells="1" siz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0</xdr:colOff>
                <xdr:row>11</xdr:row>
                <xdr:rowOff>0</xdr:rowOff>
              </to>
            </anchor>
          </objectPr>
        </oleObject>
      </mc:Choice>
      <mc:Fallback>
        <oleObject progId="Word.Picture.8" shapeId="14338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4"/>
  <sheetViews>
    <sheetView showGridLines="0" zoomScaleNormal="100" zoomScaleSheetLayoutView="100" workbookViewId="0">
      <selection sqref="A1:M1"/>
    </sheetView>
  </sheetViews>
  <sheetFormatPr defaultColWidth="9.81640625" defaultRowHeight="10.5"/>
  <cols>
    <col min="1" max="1" width="42.7265625" style="470" customWidth="1"/>
    <col min="2" max="2" width="1.7265625" style="366" customWidth="1"/>
    <col min="3" max="5" width="7.7265625" style="358" customWidth="1"/>
    <col min="6" max="7" width="7.7265625" style="366" customWidth="1"/>
    <col min="8" max="8" width="4.7265625" style="358" customWidth="1"/>
    <col min="9" max="13" width="7.7265625" style="358" customWidth="1"/>
    <col min="14" max="14" width="11.7265625" style="358" customWidth="1"/>
    <col min="15" max="15" width="9.81640625" style="358"/>
    <col min="16" max="17" width="11.1796875" style="358" bestFit="1" customWidth="1"/>
    <col min="18" max="16384" width="9.81640625" style="358"/>
  </cols>
  <sheetData>
    <row r="1" spans="1:21" ht="11.15" customHeight="1">
      <c r="A1" s="963" t="s">
        <v>220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549"/>
    </row>
    <row r="2" spans="1:21" ht="11.15" customHeight="1">
      <c r="A2" s="964" t="s">
        <v>22</v>
      </c>
      <c r="B2" s="964"/>
      <c r="C2" s="964"/>
      <c r="D2" s="964"/>
      <c r="E2" s="964"/>
      <c r="F2" s="964"/>
      <c r="G2" s="964"/>
      <c r="H2" s="964"/>
      <c r="I2" s="964"/>
      <c r="J2" s="964"/>
      <c r="K2" s="964"/>
      <c r="L2" s="964"/>
      <c r="M2" s="964"/>
      <c r="N2" s="359"/>
    </row>
    <row r="3" spans="1:21" ht="11.15" customHeight="1">
      <c r="A3" s="965" t="s">
        <v>2</v>
      </c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360"/>
    </row>
    <row r="4" spans="1:21" ht="11.15" customHeight="1">
      <c r="A4" s="467"/>
      <c r="B4" s="331"/>
      <c r="C4" s="330"/>
      <c r="D4" s="330"/>
      <c r="E4" s="332"/>
      <c r="F4" s="331"/>
      <c r="G4" s="331"/>
      <c r="H4" s="330"/>
      <c r="I4" s="330"/>
      <c r="J4" s="334"/>
    </row>
    <row r="5" spans="1:21" s="366" customFormat="1" ht="15" customHeight="1">
      <c r="A5" s="468"/>
      <c r="B5" s="361"/>
      <c r="C5" s="962" t="s">
        <v>238</v>
      </c>
      <c r="D5" s="962"/>
      <c r="E5" s="962"/>
      <c r="F5" s="962"/>
      <c r="G5" s="962"/>
      <c r="H5" s="386"/>
      <c r="I5" s="962" t="s">
        <v>118</v>
      </c>
      <c r="J5" s="962"/>
      <c r="K5" s="962"/>
      <c r="L5" s="962"/>
      <c r="M5" s="962"/>
      <c r="P5" s="550"/>
      <c r="Q5" s="551"/>
      <c r="R5" s="551"/>
      <c r="S5" s="552"/>
    </row>
    <row r="6" spans="1:21" s="384" customFormat="1" ht="15" customHeight="1">
      <c r="A6" s="396"/>
      <c r="B6" s="380"/>
      <c r="C6" s="382">
        <v>2017</v>
      </c>
      <c r="D6" s="381" t="s">
        <v>4</v>
      </c>
      <c r="E6" s="382">
        <v>2016</v>
      </c>
      <c r="F6" s="381" t="s">
        <v>4</v>
      </c>
      <c r="G6" s="380" t="s">
        <v>111</v>
      </c>
      <c r="H6" s="381"/>
      <c r="I6" s="382">
        <v>2017</v>
      </c>
      <c r="J6" s="381" t="s">
        <v>4</v>
      </c>
      <c r="K6" s="382">
        <v>2016</v>
      </c>
      <c r="L6" s="381" t="s">
        <v>4</v>
      </c>
      <c r="M6" s="380" t="s">
        <v>111</v>
      </c>
      <c r="N6" s="383"/>
      <c r="O6" s="383"/>
      <c r="P6" s="383"/>
    </row>
    <row r="7" spans="1:21" ht="13" customHeight="1">
      <c r="A7" s="294" t="s">
        <v>179</v>
      </c>
      <c r="B7" s="273"/>
      <c r="C7" s="416">
        <v>39660</v>
      </c>
      <c r="D7" s="417">
        <v>100</v>
      </c>
      <c r="E7" s="416">
        <v>34197</v>
      </c>
      <c r="F7" s="417">
        <v>100</v>
      </c>
      <c r="G7" s="417">
        <v>15.975085533818767</v>
      </c>
      <c r="H7" s="626"/>
      <c r="I7" s="416">
        <v>73730</v>
      </c>
      <c r="J7" s="417">
        <v>100</v>
      </c>
      <c r="K7" s="416">
        <v>64649</v>
      </c>
      <c r="L7" s="417">
        <v>100</v>
      </c>
      <c r="M7" s="417">
        <v>14.04662098408329</v>
      </c>
      <c r="O7" s="364"/>
      <c r="P7" s="556"/>
      <c r="Q7" s="364"/>
      <c r="T7" s="364"/>
      <c r="U7" s="364"/>
    </row>
    <row r="8" spans="1:21" ht="13" customHeight="1">
      <c r="A8" s="397" t="s">
        <v>6</v>
      </c>
      <c r="B8" s="273"/>
      <c r="C8" s="845">
        <v>25001</v>
      </c>
      <c r="D8" s="419">
        <v>63</v>
      </c>
      <c r="E8" s="845">
        <v>21744</v>
      </c>
      <c r="F8" s="419">
        <v>63.6</v>
      </c>
      <c r="G8" s="419">
        <v>14.978844738778507</v>
      </c>
      <c r="H8" s="626"/>
      <c r="I8" s="845">
        <v>46932</v>
      </c>
      <c r="J8" s="419">
        <v>63.7</v>
      </c>
      <c r="K8" s="845">
        <v>41707</v>
      </c>
      <c r="L8" s="419">
        <v>64.5</v>
      </c>
      <c r="M8" s="419">
        <v>12.52787301891769</v>
      </c>
      <c r="O8" s="364"/>
      <c r="T8" s="364"/>
      <c r="U8" s="364"/>
    </row>
    <row r="9" spans="1:21" ht="13" customHeight="1">
      <c r="A9" s="398" t="s">
        <v>7</v>
      </c>
      <c r="B9" s="273"/>
      <c r="C9" s="846">
        <v>14659</v>
      </c>
      <c r="D9" s="421">
        <v>37</v>
      </c>
      <c r="E9" s="846">
        <v>12453</v>
      </c>
      <c r="F9" s="421">
        <v>36.4</v>
      </c>
      <c r="G9" s="421">
        <v>17.714606922026821</v>
      </c>
      <c r="H9" s="626"/>
      <c r="I9" s="846">
        <v>26798</v>
      </c>
      <c r="J9" s="421">
        <v>36.299999999999997</v>
      </c>
      <c r="K9" s="846">
        <v>22942</v>
      </c>
      <c r="L9" s="421">
        <v>35.5</v>
      </c>
      <c r="M9" s="421">
        <v>16.807601778397707</v>
      </c>
      <c r="O9" s="364"/>
      <c r="T9" s="364"/>
      <c r="U9" s="364"/>
    </row>
    <row r="10" spans="1:21" ht="13" customHeight="1">
      <c r="A10" s="399" t="s">
        <v>34</v>
      </c>
      <c r="B10" s="367"/>
      <c r="C10" s="847">
        <v>806</v>
      </c>
      <c r="D10" s="422">
        <v>2</v>
      </c>
      <c r="E10" s="847">
        <v>762</v>
      </c>
      <c r="F10" s="422">
        <v>2.2000000000000002</v>
      </c>
      <c r="G10" s="422">
        <v>5.7742782152230943</v>
      </c>
      <c r="H10" s="626"/>
      <c r="I10" s="847">
        <v>1581</v>
      </c>
      <c r="J10" s="422">
        <v>2.1</v>
      </c>
      <c r="K10" s="847">
        <v>1423</v>
      </c>
      <c r="L10" s="422">
        <v>2.2000000000000002</v>
      </c>
      <c r="M10" s="422">
        <v>11.103302881236822</v>
      </c>
      <c r="T10" s="364"/>
      <c r="U10" s="364"/>
    </row>
    <row r="11" spans="1:21" ht="13" customHeight="1">
      <c r="A11" s="400" t="s">
        <v>35</v>
      </c>
      <c r="B11" s="367"/>
      <c r="C11" s="416">
        <v>10525</v>
      </c>
      <c r="D11" s="417">
        <v>26.6</v>
      </c>
      <c r="E11" s="416">
        <v>8870</v>
      </c>
      <c r="F11" s="417">
        <v>25.899999999999995</v>
      </c>
      <c r="G11" s="417">
        <v>18.658399098083422</v>
      </c>
      <c r="H11" s="626"/>
      <c r="I11" s="416">
        <v>20292</v>
      </c>
      <c r="J11" s="417">
        <v>27.499999999999996</v>
      </c>
      <c r="K11" s="416">
        <v>17067</v>
      </c>
      <c r="L11" s="417">
        <v>26.4</v>
      </c>
      <c r="M11" s="417">
        <v>18.89611531024784</v>
      </c>
      <c r="T11" s="364"/>
      <c r="U11" s="364"/>
    </row>
    <row r="12" spans="1:21" ht="13" customHeight="1">
      <c r="A12" s="397" t="s">
        <v>75</v>
      </c>
      <c r="B12" s="273"/>
      <c r="C12" s="845">
        <v>60</v>
      </c>
      <c r="D12" s="419">
        <v>0.2</v>
      </c>
      <c r="E12" s="845">
        <v>57</v>
      </c>
      <c r="F12" s="419">
        <v>0.2</v>
      </c>
      <c r="G12" s="419">
        <v>5.2631578947368363</v>
      </c>
      <c r="H12" s="626"/>
      <c r="I12" s="845">
        <v>128</v>
      </c>
      <c r="J12" s="419">
        <v>0.2</v>
      </c>
      <c r="K12" s="845">
        <v>115</v>
      </c>
      <c r="L12" s="419">
        <v>0.2</v>
      </c>
      <c r="M12" s="419">
        <v>11.304347826086957</v>
      </c>
      <c r="T12" s="364"/>
      <c r="U12" s="364"/>
    </row>
    <row r="13" spans="1:21" s="369" customFormat="1" ht="13" customHeight="1">
      <c r="A13" s="401" t="s">
        <v>72</v>
      </c>
      <c r="B13" s="368"/>
      <c r="C13" s="857">
        <v>3268</v>
      </c>
      <c r="D13" s="421">
        <v>8.1999999999999993</v>
      </c>
      <c r="E13" s="857">
        <v>2764</v>
      </c>
      <c r="F13" s="421">
        <v>8.1</v>
      </c>
      <c r="G13" s="421">
        <v>18.23444283646889</v>
      </c>
      <c r="H13" s="609"/>
      <c r="I13" s="857">
        <v>4797</v>
      </c>
      <c r="J13" s="421">
        <v>6.5</v>
      </c>
      <c r="K13" s="857">
        <v>4337</v>
      </c>
      <c r="L13" s="421">
        <v>6.7</v>
      </c>
      <c r="M13" s="421">
        <v>10.606409960802399</v>
      </c>
      <c r="T13" s="364"/>
      <c r="U13" s="364"/>
    </row>
    <row r="14" spans="1:21" ht="13" customHeight="1">
      <c r="A14" s="402" t="s">
        <v>17</v>
      </c>
      <c r="C14" s="847">
        <v>1038</v>
      </c>
      <c r="D14" s="422">
        <v>2.6</v>
      </c>
      <c r="E14" s="847">
        <v>880</v>
      </c>
      <c r="F14" s="422">
        <v>2.6</v>
      </c>
      <c r="G14" s="422">
        <v>17.954545454545446</v>
      </c>
      <c r="H14" s="609"/>
      <c r="I14" s="847">
        <v>2051</v>
      </c>
      <c r="J14" s="422">
        <v>2.8</v>
      </c>
      <c r="K14" s="847">
        <v>1718</v>
      </c>
      <c r="L14" s="422">
        <v>2.7</v>
      </c>
      <c r="M14" s="422">
        <v>19.383003492433069</v>
      </c>
      <c r="T14" s="364"/>
      <c r="U14" s="364"/>
    </row>
    <row r="15" spans="1:21" ht="13" customHeight="1">
      <c r="A15" s="403" t="s">
        <v>76</v>
      </c>
      <c r="B15" s="273"/>
      <c r="C15" s="860">
        <v>121</v>
      </c>
      <c r="D15" s="425">
        <v>0.39999999999999991</v>
      </c>
      <c r="E15" s="860">
        <v>106</v>
      </c>
      <c r="F15" s="425">
        <v>0.30000000000000027</v>
      </c>
      <c r="G15" s="425">
        <v>14.150943396226424</v>
      </c>
      <c r="H15" s="609"/>
      <c r="I15" s="860">
        <v>239</v>
      </c>
      <c r="J15" s="425">
        <v>0.29999999999999982</v>
      </c>
      <c r="K15" s="860">
        <v>207</v>
      </c>
      <c r="L15" s="425">
        <v>0.29999999999999893</v>
      </c>
      <c r="M15" s="425">
        <v>15.458937198067634</v>
      </c>
      <c r="T15" s="364"/>
      <c r="U15" s="364"/>
    </row>
    <row r="16" spans="1:21" ht="13" customHeight="1">
      <c r="A16" s="404" t="s">
        <v>182</v>
      </c>
      <c r="B16" s="273"/>
      <c r="C16" s="847">
        <v>4427</v>
      </c>
      <c r="D16" s="422">
        <v>11.2</v>
      </c>
      <c r="E16" s="847">
        <v>3750</v>
      </c>
      <c r="F16" s="422">
        <v>11</v>
      </c>
      <c r="G16" s="422">
        <v>18.053333333333342</v>
      </c>
      <c r="H16" s="626"/>
      <c r="I16" s="847">
        <v>7087</v>
      </c>
      <c r="J16" s="422">
        <v>9.6</v>
      </c>
      <c r="K16" s="847">
        <v>6262</v>
      </c>
      <c r="L16" s="422">
        <v>9.6999999999999993</v>
      </c>
      <c r="M16" s="422">
        <v>13.174704567230911</v>
      </c>
      <c r="P16" s="364"/>
      <c r="Q16" s="364"/>
      <c r="T16" s="364"/>
      <c r="U16" s="364"/>
    </row>
    <row r="17" spans="1:17" s="371" customFormat="1" ht="13" customHeight="1" thickBot="1">
      <c r="A17" s="405" t="s">
        <v>18</v>
      </c>
      <c r="B17" s="389"/>
      <c r="C17" s="852">
        <v>2026</v>
      </c>
      <c r="D17" s="426"/>
      <c r="E17" s="852">
        <v>1598.8853827006315</v>
      </c>
      <c r="F17" s="679"/>
      <c r="G17" s="427">
        <v>26.713273003843561</v>
      </c>
      <c r="H17" s="562"/>
      <c r="I17" s="852">
        <v>3650.3664155749775</v>
      </c>
      <c r="J17" s="426"/>
      <c r="K17" s="852">
        <v>2838.8853827006315</v>
      </c>
      <c r="L17" s="679"/>
      <c r="M17" s="427">
        <v>28.584494387102886</v>
      </c>
      <c r="O17" s="558"/>
      <c r="P17" s="372"/>
      <c r="Q17" s="373"/>
    </row>
    <row r="18" spans="1:17" ht="11.15" customHeight="1">
      <c r="A18" s="406"/>
      <c r="B18" s="273"/>
      <c r="C18" s="433">
        <v>11391</v>
      </c>
      <c r="D18" s="434"/>
      <c r="E18" s="433">
        <v>9689</v>
      </c>
      <c r="F18" s="435"/>
      <c r="G18" s="436">
        <v>17.566312312932197</v>
      </c>
      <c r="H18" s="438"/>
      <c r="I18" s="438"/>
      <c r="J18" s="438"/>
      <c r="K18" s="430"/>
      <c r="L18" s="439"/>
      <c r="M18" s="439"/>
      <c r="O18" s="364"/>
    </row>
    <row r="19" spans="1:17" s="366" customFormat="1" ht="15" customHeight="1">
      <c r="A19" s="546" t="s">
        <v>36</v>
      </c>
      <c r="B19" s="273"/>
      <c r="C19" s="443"/>
      <c r="D19" s="440"/>
      <c r="E19" s="443"/>
      <c r="F19" s="442"/>
      <c r="G19" s="442"/>
      <c r="H19" s="442"/>
      <c r="I19" s="440"/>
      <c r="J19" s="440"/>
      <c r="K19" s="441"/>
      <c r="L19" s="442"/>
      <c r="M19" s="442"/>
      <c r="O19" s="551"/>
    </row>
    <row r="20" spans="1:17" s="683" customFormat="1" ht="13" customHeight="1">
      <c r="A20" s="567" t="s">
        <v>37</v>
      </c>
      <c r="B20" s="682"/>
      <c r="C20" s="861"/>
      <c r="D20" s="868"/>
      <c r="E20" s="861"/>
      <c r="F20" s="428"/>
      <c r="G20" s="907"/>
      <c r="H20" s="559"/>
      <c r="I20" s="915">
        <v>15774</v>
      </c>
      <c r="J20" s="916"/>
      <c r="K20" s="915">
        <v>14461</v>
      </c>
      <c r="L20" s="917"/>
      <c r="M20" s="918">
        <v>9.0795933891155478</v>
      </c>
    </row>
    <row r="21" spans="1:17" ht="13" customHeight="1">
      <c r="A21" s="409" t="s">
        <v>134</v>
      </c>
      <c r="B21" s="376"/>
      <c r="C21" s="680"/>
      <c r="D21" s="453"/>
      <c r="E21" s="680">
        <v>458</v>
      </c>
      <c r="F21" s="453"/>
      <c r="G21" s="564">
        <v>-100</v>
      </c>
      <c r="H21" s="369"/>
      <c r="I21" s="919"/>
      <c r="J21" s="920"/>
      <c r="K21" s="919"/>
      <c r="L21" s="920"/>
      <c r="M21" s="921"/>
    </row>
    <row r="22" spans="1:17" ht="13" customHeight="1">
      <c r="A22" s="569" t="s">
        <v>167</v>
      </c>
      <c r="B22" s="376"/>
      <c r="C22" s="450">
        <v>373</v>
      </c>
      <c r="D22" s="570"/>
      <c r="E22" s="450">
        <v>263</v>
      </c>
      <c r="F22" s="570"/>
      <c r="G22" s="922">
        <v>41.825095057034225</v>
      </c>
      <c r="H22" s="369"/>
      <c r="I22" s="919"/>
      <c r="J22" s="920"/>
      <c r="K22" s="919"/>
      <c r="L22" s="920"/>
      <c r="M22" s="921"/>
    </row>
    <row r="23" spans="1:17" ht="13" customHeight="1">
      <c r="A23" s="568" t="s">
        <v>168</v>
      </c>
      <c r="B23" s="376"/>
      <c r="C23" s="431">
        <v>549</v>
      </c>
      <c r="D23" s="448"/>
      <c r="E23" s="431">
        <v>400</v>
      </c>
      <c r="F23" s="448"/>
      <c r="G23" s="445">
        <v>37.250000000000007</v>
      </c>
      <c r="H23" s="369"/>
      <c r="I23" s="923"/>
      <c r="J23" s="924"/>
      <c r="K23" s="923"/>
      <c r="L23" s="924"/>
      <c r="M23" s="925"/>
    </row>
    <row r="24" spans="1:17" ht="13" customHeight="1">
      <c r="A24" s="569" t="s">
        <v>166</v>
      </c>
      <c r="B24" s="376"/>
      <c r="C24" s="450">
        <v>1313</v>
      </c>
      <c r="D24" s="570"/>
      <c r="E24" s="450">
        <v>1196</v>
      </c>
      <c r="F24" s="570"/>
      <c r="G24" s="922">
        <v>9.7826086956521721</v>
      </c>
      <c r="H24" s="559"/>
      <c r="I24" s="923"/>
      <c r="J24" s="926"/>
      <c r="K24" s="923"/>
      <c r="L24" s="926"/>
      <c r="M24" s="925"/>
      <c r="N24" s="369"/>
    </row>
    <row r="25" spans="1:17" ht="13" customHeight="1">
      <c r="A25" s="409"/>
      <c r="B25" s="376"/>
      <c r="C25" s="431"/>
      <c r="D25" s="455"/>
      <c r="E25" s="431"/>
      <c r="F25" s="927"/>
      <c r="G25" s="418"/>
      <c r="H25" s="559"/>
      <c r="I25" s="923"/>
      <c r="J25" s="926"/>
      <c r="K25" s="923"/>
      <c r="L25" s="926"/>
      <c r="M25" s="928"/>
      <c r="N25" s="369"/>
    </row>
    <row r="26" spans="1:17" ht="13" customHeight="1">
      <c r="A26" s="410" t="s">
        <v>219</v>
      </c>
      <c r="B26" s="375"/>
      <c r="C26" s="862"/>
      <c r="D26" s="563"/>
      <c r="E26" s="862"/>
      <c r="F26" s="563"/>
      <c r="G26" s="428"/>
      <c r="H26" s="559"/>
      <c r="I26" s="929"/>
      <c r="J26" s="930"/>
      <c r="K26" s="929"/>
      <c r="L26" s="930"/>
      <c r="M26" s="929"/>
      <c r="N26" s="369"/>
    </row>
    <row r="27" spans="1:17" ht="13" customHeight="1">
      <c r="A27" s="571" t="s">
        <v>38</v>
      </c>
      <c r="B27" s="375"/>
      <c r="C27" s="447">
        <v>802.74483738308732</v>
      </c>
      <c r="D27" s="422"/>
      <c r="E27" s="447">
        <v>728.08359413262895</v>
      </c>
      <c r="F27" s="422"/>
      <c r="G27" s="422">
        <v>10.254487788507705</v>
      </c>
      <c r="H27" s="559"/>
      <c r="I27" s="447">
        <v>751.27301533630396</v>
      </c>
      <c r="J27" s="422"/>
      <c r="K27" s="447">
        <v>695.0141027622966</v>
      </c>
      <c r="L27" s="422"/>
      <c r="M27" s="422">
        <v>8.0946433101730229</v>
      </c>
      <c r="N27" s="369"/>
    </row>
    <row r="28" spans="1:17" s="371" customFormat="1" ht="13" customHeight="1">
      <c r="A28" s="568" t="s">
        <v>180</v>
      </c>
      <c r="B28" s="376"/>
      <c r="C28" s="458">
        <v>24.027265306122448</v>
      </c>
      <c r="D28" s="418"/>
      <c r="E28" s="458">
        <v>23.007300291545189</v>
      </c>
      <c r="F28" s="418"/>
      <c r="G28" s="418">
        <v>4.4332233754174055</v>
      </c>
      <c r="H28" s="559"/>
      <c r="I28" s="458">
        <v>22.953999200395099</v>
      </c>
      <c r="J28" s="418"/>
      <c r="K28" s="458">
        <v>22.178347169633827</v>
      </c>
      <c r="L28" s="418"/>
      <c r="M28" s="418">
        <v>3.4973392057965347</v>
      </c>
      <c r="N28" s="369"/>
    </row>
    <row r="29" spans="1:17" ht="13" customHeight="1" thickBot="1">
      <c r="A29" s="572" t="s">
        <v>181</v>
      </c>
      <c r="B29" s="560"/>
      <c r="C29" s="859">
        <v>33.409746267651101</v>
      </c>
      <c r="D29" s="432"/>
      <c r="E29" s="859">
        <v>31.645763949114357</v>
      </c>
      <c r="F29" s="432"/>
      <c r="G29" s="432">
        <v>5.5741498968809422</v>
      </c>
      <c r="H29" s="559"/>
      <c r="I29" s="859">
        <v>32.72950429149499</v>
      </c>
      <c r="J29" s="432"/>
      <c r="K29" s="859">
        <v>31.337506688230434</v>
      </c>
      <c r="L29" s="432"/>
      <c r="M29" s="432">
        <v>4.4419539088199178</v>
      </c>
      <c r="N29" s="369"/>
    </row>
    <row r="30" spans="1:17" ht="11.15" customHeight="1">
      <c r="N30" s="369"/>
    </row>
    <row r="31" spans="1:17" ht="11.15" customHeight="1">
      <c r="A31" s="378"/>
      <c r="B31" s="378"/>
      <c r="C31" s="378"/>
      <c r="D31" s="378"/>
      <c r="E31" s="378"/>
      <c r="F31" s="378"/>
      <c r="G31" s="378"/>
      <c r="H31" s="378"/>
      <c r="I31" s="378"/>
      <c r="J31" s="378"/>
      <c r="K31" s="378"/>
      <c r="L31" s="378"/>
      <c r="M31" s="378"/>
    </row>
    <row r="32" spans="1:17" ht="11">
      <c r="A32" s="982" t="s">
        <v>234</v>
      </c>
      <c r="B32" s="982"/>
      <c r="C32" s="982"/>
      <c r="D32" s="982"/>
      <c r="E32" s="982"/>
      <c r="F32" s="982"/>
      <c r="G32" s="982"/>
      <c r="H32" s="982"/>
      <c r="I32" s="982"/>
      <c r="J32" s="982"/>
      <c r="K32" s="982"/>
      <c r="L32" s="982"/>
      <c r="M32" s="982"/>
    </row>
    <row r="33" spans="1:1" ht="20.25" customHeight="1"/>
    <row r="36" spans="1:1">
      <c r="A36" s="358"/>
    </row>
    <row r="37" spans="1:1">
      <c r="A37" s="358"/>
    </row>
    <row r="38" spans="1:1">
      <c r="A38" s="358"/>
    </row>
    <row r="39" spans="1:1">
      <c r="A39" s="358"/>
    </row>
    <row r="40" spans="1:1">
      <c r="A40" s="358"/>
    </row>
    <row r="41" spans="1:1">
      <c r="A41" s="358"/>
    </row>
    <row r="42" spans="1:1">
      <c r="A42" s="358"/>
    </row>
    <row r="43" spans="1:1">
      <c r="A43" s="358"/>
    </row>
    <row r="44" spans="1:1">
      <c r="A44" s="358"/>
    </row>
  </sheetData>
  <mergeCells count="6">
    <mergeCell ref="A32:M32"/>
    <mergeCell ref="C5:G5"/>
    <mergeCell ref="I5:M5"/>
    <mergeCell ref="A1:M1"/>
    <mergeCell ref="A2:M2"/>
    <mergeCell ref="A3:M3"/>
  </mergeCells>
  <pageMargins left="0.19685039370078741" right="0.31496062992125984" top="0.78740157480314965" bottom="0.23622047244094491" header="0" footer="0"/>
  <pageSetup scale="72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3793" r:id="rId4">
          <objectPr defaultSize="0" autoPict="0" r:id="rId5">
            <anchor moveWithCells="1" sizeWithCells="1">
              <from>
                <xdr:col>4</xdr:col>
                <xdr:colOff>0</xdr:colOff>
                <xdr:row>31</xdr:row>
                <xdr:rowOff>12700</xdr:rowOff>
              </from>
              <to>
                <xdr:col>4</xdr:col>
                <xdr:colOff>0</xdr:colOff>
                <xdr:row>32</xdr:row>
                <xdr:rowOff>50800</xdr:rowOff>
              </to>
            </anchor>
          </objectPr>
        </oleObject>
      </mc:Choice>
      <mc:Fallback>
        <oleObject progId="Word.Picture.8" shapeId="33793" r:id="rId4"/>
      </mc:Fallback>
    </mc:AlternateContent>
    <mc:AlternateContent xmlns:mc="http://schemas.openxmlformats.org/markup-compatibility/2006">
      <mc:Choice Requires="x14">
        <oleObject progId="Word.Picture.8" shapeId="33794" r:id="rId6">
          <objectPr defaultSize="0" autoPict="0" r:id="rId5">
            <anchor moveWithCells="1" sizeWithCells="1">
              <from>
                <xdr:col>4</xdr:col>
                <xdr:colOff>0</xdr:colOff>
                <xdr:row>31</xdr:row>
                <xdr:rowOff>0</xdr:rowOff>
              </from>
              <to>
                <xdr:col>4</xdr:col>
                <xdr:colOff>0</xdr:colOff>
                <xdr:row>31</xdr:row>
                <xdr:rowOff>50800</xdr:rowOff>
              </to>
            </anchor>
          </objectPr>
        </oleObject>
      </mc:Choice>
      <mc:Fallback>
        <oleObject progId="Word.Picture.8" shapeId="33794" r:id="rId6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Normal="100" zoomScaleSheetLayoutView="140" workbookViewId="0">
      <selection sqref="A1:M1"/>
    </sheetView>
  </sheetViews>
  <sheetFormatPr defaultColWidth="9.81640625" defaultRowHeight="10.5"/>
  <cols>
    <col min="1" max="1" width="42.7265625" style="325" customWidth="1"/>
    <col min="2" max="2" width="1.7265625" style="329" customWidth="1"/>
    <col min="3" max="5" width="7.7265625" style="325" customWidth="1"/>
    <col min="6" max="7" width="7.7265625" style="329" customWidth="1"/>
    <col min="8" max="8" width="4.7265625" style="822" customWidth="1"/>
    <col min="9" max="13" width="7.7265625" style="325" customWidth="1"/>
    <col min="14" max="15" width="11.7265625" style="325" customWidth="1"/>
    <col min="16" max="16" width="9.81640625" style="325"/>
    <col min="17" max="18" width="11.1796875" style="325" bestFit="1" customWidth="1"/>
    <col min="19" max="16384" width="9.81640625" style="325"/>
  </cols>
  <sheetData>
    <row r="1" spans="1:22" ht="11.15" customHeight="1">
      <c r="A1" s="963" t="s">
        <v>221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477"/>
      <c r="O1" s="478"/>
    </row>
    <row r="2" spans="1:22" ht="11.15" customHeight="1">
      <c r="A2" s="964" t="s">
        <v>22</v>
      </c>
      <c r="B2" s="964"/>
      <c r="C2" s="964"/>
      <c r="D2" s="964"/>
      <c r="E2" s="964"/>
      <c r="F2" s="964"/>
      <c r="G2" s="964"/>
      <c r="H2" s="964"/>
      <c r="I2" s="964"/>
      <c r="J2" s="964"/>
      <c r="K2" s="964"/>
      <c r="L2" s="964"/>
      <c r="M2" s="964"/>
      <c r="N2" s="326"/>
      <c r="O2" s="353"/>
    </row>
    <row r="3" spans="1:22" ht="11.15" customHeight="1">
      <c r="A3" s="965" t="s">
        <v>2</v>
      </c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327"/>
      <c r="O3" s="352"/>
    </row>
    <row r="4" spans="1:22" ht="11.15" customHeight="1">
      <c r="A4" s="354"/>
      <c r="B4" s="354"/>
      <c r="C4" s="354"/>
      <c r="D4" s="354"/>
      <c r="E4" s="354"/>
      <c r="F4" s="354"/>
      <c r="G4" s="354"/>
      <c r="H4" s="327"/>
      <c r="I4" s="479"/>
      <c r="J4" s="328"/>
      <c r="K4" s="328"/>
      <c r="L4" s="328"/>
      <c r="M4" s="329"/>
    </row>
    <row r="5" spans="1:22" s="329" customFormat="1" ht="15" customHeight="1">
      <c r="A5" s="335"/>
      <c r="B5" s="335"/>
      <c r="C5" s="985" t="s">
        <v>238</v>
      </c>
      <c r="D5" s="985"/>
      <c r="E5" s="985"/>
      <c r="F5" s="985"/>
      <c r="G5" s="985"/>
      <c r="H5" s="816"/>
      <c r="I5" s="985" t="s">
        <v>118</v>
      </c>
      <c r="J5" s="985"/>
      <c r="K5" s="985"/>
      <c r="L5" s="985"/>
      <c r="M5" s="985"/>
    </row>
    <row r="6" spans="1:22" s="489" customFormat="1" ht="15" customHeight="1">
      <c r="A6" s="485"/>
      <c r="B6" s="485"/>
      <c r="C6" s="486">
        <v>2017</v>
      </c>
      <c r="D6" s="487" t="s">
        <v>4</v>
      </c>
      <c r="E6" s="486">
        <v>2016</v>
      </c>
      <c r="F6" s="487" t="s">
        <v>4</v>
      </c>
      <c r="G6" s="485" t="s">
        <v>111</v>
      </c>
      <c r="H6" s="817"/>
      <c r="I6" s="486">
        <v>2017</v>
      </c>
      <c r="J6" s="487" t="s">
        <v>4</v>
      </c>
      <c r="K6" s="486">
        <v>2016</v>
      </c>
      <c r="L6" s="487" t="s">
        <v>4</v>
      </c>
      <c r="M6" s="485" t="s">
        <v>111</v>
      </c>
      <c r="N6" s="488"/>
      <c r="O6" s="488"/>
      <c r="P6" s="488"/>
    </row>
    <row r="7" spans="1:22" ht="13" customHeight="1">
      <c r="A7" s="528" t="s">
        <v>179</v>
      </c>
      <c r="B7" s="260"/>
      <c r="C7" s="850">
        <v>11431</v>
      </c>
      <c r="D7" s="494">
        <v>100</v>
      </c>
      <c r="E7" s="850">
        <v>10413</v>
      </c>
      <c r="F7" s="494">
        <v>100</v>
      </c>
      <c r="G7" s="494">
        <v>9.7762412369153839</v>
      </c>
      <c r="H7" s="525"/>
      <c r="I7" s="850">
        <v>23455</v>
      </c>
      <c r="J7" s="494">
        <v>100</v>
      </c>
      <c r="K7" s="850">
        <v>19924</v>
      </c>
      <c r="L7" s="494">
        <v>100</v>
      </c>
      <c r="M7" s="494">
        <v>17.722344910660514</v>
      </c>
      <c r="Q7" s="336"/>
      <c r="R7" s="336"/>
      <c r="U7" s="336"/>
      <c r="V7" s="336"/>
    </row>
    <row r="8" spans="1:22" ht="13" customHeight="1">
      <c r="A8" s="529" t="s">
        <v>6</v>
      </c>
      <c r="B8" s="260"/>
      <c r="C8" s="843">
        <v>8090</v>
      </c>
      <c r="D8" s="495">
        <v>70.8</v>
      </c>
      <c r="E8" s="843">
        <v>7351</v>
      </c>
      <c r="F8" s="495">
        <v>70.599999999999994</v>
      </c>
      <c r="G8" s="495">
        <v>10.053054006257645</v>
      </c>
      <c r="H8" s="521"/>
      <c r="I8" s="843">
        <v>16700</v>
      </c>
      <c r="J8" s="495">
        <v>71.2</v>
      </c>
      <c r="K8" s="843">
        <v>14215</v>
      </c>
      <c r="L8" s="495">
        <v>71.3</v>
      </c>
      <c r="M8" s="495">
        <v>17.481533591276822</v>
      </c>
      <c r="U8" s="336"/>
      <c r="V8" s="336"/>
    </row>
    <row r="9" spans="1:22" ht="13" customHeight="1">
      <c r="A9" s="530" t="s">
        <v>7</v>
      </c>
      <c r="B9" s="260"/>
      <c r="C9" s="863">
        <v>3341</v>
      </c>
      <c r="D9" s="496">
        <v>29.2</v>
      </c>
      <c r="E9" s="863">
        <v>3062</v>
      </c>
      <c r="F9" s="496">
        <v>29.4</v>
      </c>
      <c r="G9" s="496">
        <v>9.1116917047681323</v>
      </c>
      <c r="H9" s="521"/>
      <c r="I9" s="863">
        <v>6755</v>
      </c>
      <c r="J9" s="496">
        <v>28.8</v>
      </c>
      <c r="K9" s="863">
        <v>5709</v>
      </c>
      <c r="L9" s="496">
        <v>28.7</v>
      </c>
      <c r="M9" s="496">
        <v>18.321947801716586</v>
      </c>
      <c r="U9" s="336"/>
      <c r="V9" s="336"/>
    </row>
    <row r="10" spans="1:22" ht="13" customHeight="1">
      <c r="A10" s="531" t="s">
        <v>34</v>
      </c>
      <c r="B10" s="337"/>
      <c r="C10" s="858">
        <v>381</v>
      </c>
      <c r="D10" s="497">
        <v>3.3</v>
      </c>
      <c r="E10" s="858">
        <v>423</v>
      </c>
      <c r="F10" s="497">
        <v>4.0999999999999996</v>
      </c>
      <c r="G10" s="497">
        <v>-9.9290780141843999</v>
      </c>
      <c r="H10" s="818"/>
      <c r="I10" s="858">
        <v>834</v>
      </c>
      <c r="J10" s="497">
        <v>3.6</v>
      </c>
      <c r="K10" s="858">
        <v>761</v>
      </c>
      <c r="L10" s="497">
        <v>3.8</v>
      </c>
      <c r="M10" s="497">
        <v>9.5926412614980361</v>
      </c>
      <c r="U10" s="336"/>
      <c r="V10" s="336"/>
    </row>
    <row r="11" spans="1:22" ht="13" customHeight="1">
      <c r="A11" s="532" t="s">
        <v>35</v>
      </c>
      <c r="B11" s="337"/>
      <c r="C11" s="850">
        <v>2618</v>
      </c>
      <c r="D11" s="494">
        <v>22.9</v>
      </c>
      <c r="E11" s="850">
        <v>2321</v>
      </c>
      <c r="F11" s="494">
        <v>22.299999999999997</v>
      </c>
      <c r="G11" s="494">
        <v>12.796208530805696</v>
      </c>
      <c r="H11" s="521"/>
      <c r="I11" s="850">
        <v>5318</v>
      </c>
      <c r="J11" s="494">
        <v>22.599999999999998</v>
      </c>
      <c r="K11" s="850">
        <v>4366</v>
      </c>
      <c r="L11" s="494">
        <v>22</v>
      </c>
      <c r="M11" s="494">
        <v>21.804855703160797</v>
      </c>
      <c r="U11" s="336"/>
      <c r="V11" s="336"/>
    </row>
    <row r="12" spans="1:22" ht="13" customHeight="1">
      <c r="A12" s="529" t="s">
        <v>75</v>
      </c>
      <c r="B12" s="260"/>
      <c r="C12" s="843">
        <v>14</v>
      </c>
      <c r="D12" s="495">
        <v>0.1</v>
      </c>
      <c r="E12" s="843">
        <v>-9</v>
      </c>
      <c r="F12" s="495">
        <v>-0.1</v>
      </c>
      <c r="G12" s="495" t="s">
        <v>105</v>
      </c>
      <c r="H12" s="521"/>
      <c r="I12" s="843">
        <v>24</v>
      </c>
      <c r="J12" s="495">
        <v>0.1</v>
      </c>
      <c r="K12" s="843">
        <v>6</v>
      </c>
      <c r="L12" s="495">
        <v>0</v>
      </c>
      <c r="M12" s="495" t="s">
        <v>105</v>
      </c>
      <c r="U12" s="336"/>
      <c r="V12" s="336"/>
    </row>
    <row r="13" spans="1:22" s="339" customFormat="1" ht="13" customHeight="1">
      <c r="A13" s="533" t="s">
        <v>72</v>
      </c>
      <c r="B13" s="338"/>
      <c r="C13" s="864">
        <v>328</v>
      </c>
      <c r="D13" s="496">
        <v>2.9</v>
      </c>
      <c r="E13" s="864">
        <v>327</v>
      </c>
      <c r="F13" s="496">
        <v>3.1</v>
      </c>
      <c r="G13" s="501">
        <v>0.30581039755350758</v>
      </c>
      <c r="H13" s="525"/>
      <c r="I13" s="864">
        <v>579</v>
      </c>
      <c r="J13" s="496">
        <v>2.5</v>
      </c>
      <c r="K13" s="864">
        <v>576</v>
      </c>
      <c r="L13" s="496">
        <v>2.9</v>
      </c>
      <c r="M13" s="501">
        <v>0.52083333333332593</v>
      </c>
      <c r="U13" s="336"/>
      <c r="V13" s="336"/>
    </row>
    <row r="14" spans="1:22" ht="13" customHeight="1">
      <c r="A14" s="534" t="s">
        <v>17</v>
      </c>
      <c r="C14" s="858">
        <v>151</v>
      </c>
      <c r="D14" s="497">
        <v>1.3</v>
      </c>
      <c r="E14" s="858">
        <v>148</v>
      </c>
      <c r="F14" s="497">
        <v>1.4</v>
      </c>
      <c r="G14" s="497">
        <v>2.0270270270270174</v>
      </c>
      <c r="H14" s="823"/>
      <c r="I14" s="858">
        <v>312</v>
      </c>
      <c r="J14" s="497">
        <v>1.3</v>
      </c>
      <c r="K14" s="858">
        <v>271</v>
      </c>
      <c r="L14" s="497">
        <v>1.4</v>
      </c>
      <c r="M14" s="497">
        <v>15.12915129151291</v>
      </c>
      <c r="U14" s="336"/>
      <c r="V14" s="336"/>
    </row>
    <row r="15" spans="1:22" ht="13" customHeight="1">
      <c r="A15" s="535" t="s">
        <v>76</v>
      </c>
      <c r="B15" s="260"/>
      <c r="C15" s="865">
        <v>82</v>
      </c>
      <c r="D15" s="502">
        <v>0.7000000000000004</v>
      </c>
      <c r="E15" s="865">
        <v>91</v>
      </c>
      <c r="F15" s="502">
        <v>0.90000000000000036</v>
      </c>
      <c r="G15" s="498">
        <v>-9.8901098901098887</v>
      </c>
      <c r="H15" s="521"/>
      <c r="I15" s="865">
        <v>167</v>
      </c>
      <c r="J15" s="502">
        <v>0.7</v>
      </c>
      <c r="K15" s="865">
        <v>141</v>
      </c>
      <c r="L15" s="502">
        <v>0.70000000000000018</v>
      </c>
      <c r="M15" s="498">
        <v>18.439716312056742</v>
      </c>
      <c r="U15" s="336"/>
      <c r="V15" s="336"/>
    </row>
    <row r="16" spans="1:22" ht="13" customHeight="1">
      <c r="A16" s="536" t="s">
        <v>182</v>
      </c>
      <c r="B16" s="260"/>
      <c r="C16" s="858">
        <v>561</v>
      </c>
      <c r="D16" s="497">
        <v>4.9000000000000004</v>
      </c>
      <c r="E16" s="858">
        <v>566</v>
      </c>
      <c r="F16" s="497">
        <v>5.4</v>
      </c>
      <c r="G16" s="497">
        <v>-0.88339222614840507</v>
      </c>
      <c r="H16" s="525"/>
      <c r="I16" s="858">
        <v>1058</v>
      </c>
      <c r="J16" s="497">
        <v>4.5</v>
      </c>
      <c r="K16" s="858">
        <v>988</v>
      </c>
      <c r="L16" s="497">
        <v>5</v>
      </c>
      <c r="M16" s="497">
        <v>7.0850202429149745</v>
      </c>
      <c r="Q16" s="336"/>
      <c r="R16" s="336"/>
      <c r="U16" s="336"/>
      <c r="V16" s="336"/>
    </row>
    <row r="17" spans="1:18" s="341" customFormat="1" ht="13" customHeight="1" thickBot="1">
      <c r="A17" s="537" t="s">
        <v>18</v>
      </c>
      <c r="B17" s="490"/>
      <c r="C17" s="852">
        <v>176</v>
      </c>
      <c r="D17" s="426"/>
      <c r="E17" s="852">
        <v>227</v>
      </c>
      <c r="F17" s="679"/>
      <c r="G17" s="427">
        <v>-22.466960352422905</v>
      </c>
      <c r="H17" s="521"/>
      <c r="I17" s="852">
        <v>372</v>
      </c>
      <c r="J17" s="426"/>
      <c r="K17" s="852">
        <v>383</v>
      </c>
      <c r="L17" s="679"/>
      <c r="M17" s="427">
        <v>-2.8720626631853818</v>
      </c>
      <c r="Q17" s="342"/>
      <c r="R17" s="343"/>
    </row>
    <row r="18" spans="1:18" ht="11.15" customHeight="1">
      <c r="A18" s="538"/>
      <c r="B18" s="260"/>
      <c r="C18" s="503" t="e">
        <v>#REF!</v>
      </c>
      <c r="D18" s="504"/>
      <c r="E18" s="503"/>
      <c r="F18" s="505"/>
      <c r="G18" s="506"/>
      <c r="H18" s="819"/>
      <c r="I18" s="507"/>
      <c r="J18" s="507"/>
      <c r="K18" s="499"/>
      <c r="L18" s="500"/>
      <c r="M18" s="500"/>
    </row>
    <row r="19" spans="1:18" s="329" customFormat="1" ht="15" customHeight="1">
      <c r="A19" s="407" t="s">
        <v>230</v>
      </c>
      <c r="B19" s="260"/>
      <c r="C19" s="508"/>
      <c r="D19" s="508"/>
      <c r="E19" s="509"/>
      <c r="F19" s="510"/>
      <c r="G19" s="510"/>
      <c r="H19" s="526"/>
      <c r="I19" s="511"/>
      <c r="J19" s="508"/>
      <c r="K19" s="510"/>
      <c r="L19" s="510"/>
      <c r="M19" s="510"/>
    </row>
    <row r="20" spans="1:18" ht="13" customHeight="1">
      <c r="A20" s="539" t="s">
        <v>37</v>
      </c>
      <c r="B20" s="346"/>
      <c r="C20" s="908"/>
      <c r="D20" s="909"/>
      <c r="E20" s="908"/>
      <c r="F20" s="867"/>
      <c r="G20" s="910"/>
      <c r="H20" s="514"/>
      <c r="I20" s="516">
        <v>2154</v>
      </c>
      <c r="J20" s="512"/>
      <c r="K20" s="516">
        <v>2034</v>
      </c>
      <c r="L20" s="513"/>
      <c r="M20" s="517">
        <v>5.8997050147492569</v>
      </c>
    </row>
    <row r="21" spans="1:18" ht="13" customHeight="1">
      <c r="A21" s="540" t="s">
        <v>222</v>
      </c>
      <c r="B21" s="347"/>
      <c r="C21" s="518">
        <v>520</v>
      </c>
      <c r="D21" s="519"/>
      <c r="E21" s="518">
        <v>458</v>
      </c>
      <c r="F21" s="519"/>
      <c r="G21" s="520">
        <v>13.537117903930129</v>
      </c>
      <c r="H21" s="521"/>
      <c r="I21" s="518">
        <v>1208</v>
      </c>
      <c r="J21" s="519"/>
      <c r="K21" s="518">
        <v>1132</v>
      </c>
      <c r="L21" s="519"/>
      <c r="M21" s="523">
        <v>6.7137809187279185</v>
      </c>
    </row>
    <row r="22" spans="1:18" ht="13" customHeight="1">
      <c r="A22" s="542" t="s">
        <v>167</v>
      </c>
      <c r="B22" s="347"/>
      <c r="C22" s="516">
        <v>18</v>
      </c>
      <c r="D22" s="524"/>
      <c r="E22" s="516">
        <v>99</v>
      </c>
      <c r="F22" s="524"/>
      <c r="G22" s="497">
        <v>-81.818181818181813</v>
      </c>
      <c r="H22" s="521"/>
      <c r="I22" s="681"/>
      <c r="J22" s="519"/>
      <c r="K22" s="681"/>
      <c r="L22" s="519"/>
      <c r="M22" s="523"/>
    </row>
    <row r="23" spans="1:18" ht="13" customHeight="1">
      <c r="A23" s="544" t="s">
        <v>168</v>
      </c>
      <c r="B23" s="347"/>
      <c r="C23" s="866">
        <v>34</v>
      </c>
      <c r="D23" s="519"/>
      <c r="E23" s="866">
        <v>134</v>
      </c>
      <c r="F23" s="519"/>
      <c r="G23" s="525">
        <v>-74.626865671641781</v>
      </c>
      <c r="H23" s="521"/>
      <c r="I23" s="681"/>
      <c r="J23" s="519"/>
      <c r="K23" s="681"/>
      <c r="L23" s="519"/>
      <c r="M23" s="523"/>
    </row>
    <row r="24" spans="1:18" ht="13" customHeight="1">
      <c r="A24" s="542" t="s">
        <v>166</v>
      </c>
      <c r="B24" s="347"/>
      <c r="C24" s="516">
        <v>120</v>
      </c>
      <c r="D24" s="524"/>
      <c r="E24" s="516">
        <v>1396</v>
      </c>
      <c r="F24" s="524"/>
      <c r="G24" s="497">
        <v>-91.404011461318049</v>
      </c>
      <c r="H24" s="521"/>
      <c r="I24" s="613"/>
      <c r="J24" s="522"/>
      <c r="K24" s="613"/>
      <c r="L24" s="522"/>
      <c r="M24" s="514"/>
    </row>
    <row r="25" spans="1:18" ht="13" customHeight="1">
      <c r="A25" s="540"/>
      <c r="B25" s="340"/>
      <c r="C25" s="842"/>
      <c r="D25" s="526"/>
      <c r="E25" s="842"/>
      <c r="F25" s="526"/>
      <c r="G25" s="525"/>
      <c r="H25" s="525"/>
      <c r="I25" s="613"/>
      <c r="J25" s="526"/>
      <c r="K25" s="613"/>
      <c r="L25" s="526"/>
      <c r="M25" s="525"/>
      <c r="N25" s="339"/>
      <c r="O25" s="339"/>
    </row>
    <row r="26" spans="1:18" ht="13" customHeight="1">
      <c r="A26" s="541" t="s">
        <v>223</v>
      </c>
      <c r="B26" s="340"/>
      <c r="C26" s="867"/>
      <c r="D26" s="515"/>
      <c r="E26" s="867"/>
      <c r="F26" s="515"/>
      <c r="G26" s="521"/>
      <c r="H26" s="521"/>
      <c r="I26" s="521"/>
      <c r="J26" s="515"/>
      <c r="K26" s="521"/>
      <c r="L26" s="515"/>
      <c r="M26" s="521"/>
    </row>
    <row r="27" spans="1:18" s="329" customFormat="1" ht="13" customHeight="1" thickBot="1">
      <c r="A27" s="543" t="s">
        <v>38</v>
      </c>
      <c r="B27" s="491"/>
      <c r="C27" s="891">
        <v>1533.5172419450523</v>
      </c>
      <c r="D27" s="892"/>
      <c r="E27" s="891">
        <v>1442.0272971695206</v>
      </c>
      <c r="F27" s="892"/>
      <c r="G27" s="893">
        <v>6.3445362619079848</v>
      </c>
      <c r="H27" s="521"/>
      <c r="I27" s="891">
        <v>1586.8635179982391</v>
      </c>
      <c r="J27" s="892"/>
      <c r="K27" s="891">
        <v>1401.4822554217137</v>
      </c>
      <c r="L27" s="892"/>
      <c r="M27" s="893">
        <v>13.227514073714985</v>
      </c>
    </row>
    <row r="28" spans="1:18" s="483" customFormat="1" ht="11.15" customHeight="1">
      <c r="A28" s="480"/>
      <c r="B28" s="480"/>
      <c r="C28" s="481"/>
      <c r="D28" s="481"/>
      <c r="E28" s="481"/>
      <c r="F28" s="481"/>
      <c r="G28" s="480"/>
      <c r="H28" s="820"/>
      <c r="I28" s="482"/>
      <c r="J28" s="482"/>
      <c r="K28" s="482"/>
      <c r="L28" s="482"/>
      <c r="M28" s="482"/>
    </row>
    <row r="29" spans="1:18" s="483" customFormat="1" ht="11.15" customHeight="1">
      <c r="A29" s="480"/>
      <c r="B29" s="480"/>
      <c r="C29" s="481"/>
      <c r="D29" s="481"/>
      <c r="E29" s="481"/>
      <c r="F29" s="481"/>
      <c r="G29" s="480"/>
      <c r="H29" s="820"/>
      <c r="I29" s="482"/>
      <c r="J29" s="482"/>
      <c r="K29" s="482"/>
      <c r="L29" s="482"/>
      <c r="M29" s="482"/>
    </row>
    <row r="30" spans="1:18" s="329" customFormat="1" ht="11.15" customHeight="1">
      <c r="A30" s="984" t="s">
        <v>235</v>
      </c>
      <c r="B30" s="984"/>
      <c r="C30" s="984"/>
      <c r="D30" s="984"/>
      <c r="E30" s="984"/>
      <c r="F30" s="984"/>
      <c r="G30" s="984"/>
      <c r="H30" s="821"/>
      <c r="I30" s="492"/>
      <c r="J30" s="492"/>
      <c r="K30" s="492"/>
      <c r="L30" s="492"/>
      <c r="M30" s="492"/>
      <c r="N30" s="493"/>
    </row>
    <row r="31" spans="1:18" s="329" customFormat="1" ht="22" customHeight="1">
      <c r="A31" s="984" t="s">
        <v>236</v>
      </c>
      <c r="B31" s="984"/>
      <c r="C31" s="984"/>
      <c r="D31" s="984"/>
      <c r="E31" s="984"/>
      <c r="F31" s="984"/>
      <c r="G31" s="984"/>
      <c r="H31" s="984"/>
      <c r="I31" s="492"/>
      <c r="J31" s="492"/>
      <c r="K31" s="492"/>
      <c r="L31" s="492"/>
      <c r="M31" s="492"/>
      <c r="N31" s="493"/>
    </row>
    <row r="32" spans="1:18" s="329" customFormat="1">
      <c r="A32" s="983"/>
      <c r="B32" s="983"/>
      <c r="C32" s="983"/>
      <c r="D32" s="983"/>
      <c r="E32" s="983"/>
      <c r="F32" s="983"/>
      <c r="G32" s="983"/>
      <c r="H32" s="983"/>
      <c r="I32" s="983"/>
      <c r="J32" s="983"/>
      <c r="K32" s="983"/>
      <c r="L32" s="983"/>
      <c r="M32" s="983"/>
    </row>
    <row r="33" spans="1:10" s="329" customFormat="1">
      <c r="A33" s="349"/>
      <c r="B33" s="349"/>
      <c r="H33" s="340"/>
      <c r="I33" s="350"/>
      <c r="J33" s="480"/>
    </row>
    <row r="34" spans="1:10" s="329" customFormat="1">
      <c r="A34" s="348"/>
      <c r="B34" s="349"/>
      <c r="H34" s="340"/>
      <c r="I34" s="350"/>
      <c r="J34" s="480"/>
    </row>
    <row r="35" spans="1:10" s="329" customFormat="1">
      <c r="A35" s="348"/>
      <c r="B35" s="349"/>
      <c r="H35" s="340"/>
      <c r="I35" s="350"/>
      <c r="J35" s="480"/>
    </row>
    <row r="36" spans="1:10" s="329" customFormat="1">
      <c r="A36" s="348"/>
      <c r="B36" s="349"/>
      <c r="H36" s="340"/>
      <c r="I36" s="350"/>
      <c r="J36" s="480"/>
    </row>
    <row r="37" spans="1:10" s="329" customFormat="1">
      <c r="A37" s="348"/>
      <c r="B37" s="349"/>
      <c r="H37" s="340"/>
      <c r="I37" s="350"/>
      <c r="J37" s="480"/>
    </row>
    <row r="38" spans="1:10" s="329" customFormat="1">
      <c r="A38" s="348"/>
      <c r="B38" s="349"/>
      <c r="H38" s="340"/>
      <c r="I38" s="350"/>
      <c r="J38" s="480"/>
    </row>
    <row r="39" spans="1:10" s="329" customFormat="1">
      <c r="A39" s="348"/>
      <c r="B39" s="349"/>
      <c r="H39" s="340"/>
      <c r="I39" s="350"/>
      <c r="J39" s="480"/>
    </row>
    <row r="40" spans="1:10" s="329" customFormat="1">
      <c r="A40" s="348"/>
      <c r="B40" s="349"/>
      <c r="H40" s="340"/>
      <c r="I40" s="350"/>
      <c r="J40" s="480"/>
    </row>
    <row r="41" spans="1:10" s="329" customFormat="1">
      <c r="A41" s="348"/>
      <c r="B41" s="349"/>
      <c r="H41" s="340"/>
      <c r="I41" s="350"/>
      <c r="J41" s="480"/>
    </row>
    <row r="42" spans="1:10" s="329" customFormat="1">
      <c r="A42" s="348"/>
      <c r="B42" s="349"/>
      <c r="H42" s="340"/>
      <c r="I42" s="350"/>
      <c r="J42" s="480"/>
    </row>
    <row r="43" spans="1:10" s="329" customFormat="1">
      <c r="A43" s="348"/>
      <c r="B43" s="349"/>
      <c r="H43" s="340"/>
      <c r="I43" s="350"/>
      <c r="J43" s="480"/>
    </row>
    <row r="44" spans="1:10" s="329" customFormat="1">
      <c r="A44" s="348"/>
      <c r="B44" s="349"/>
      <c r="H44" s="340"/>
      <c r="I44" s="350"/>
      <c r="J44" s="480"/>
    </row>
    <row r="45" spans="1:10" s="329" customFormat="1">
      <c r="A45" s="348"/>
      <c r="B45" s="349"/>
      <c r="H45" s="340"/>
      <c r="I45" s="350"/>
      <c r="J45" s="480"/>
    </row>
    <row r="46" spans="1:10" s="329" customFormat="1">
      <c r="A46" s="348"/>
      <c r="B46" s="349"/>
      <c r="H46" s="340"/>
      <c r="I46" s="350"/>
      <c r="J46" s="480"/>
    </row>
    <row r="47" spans="1:10" s="329" customFormat="1">
      <c r="A47" s="348"/>
      <c r="B47" s="349"/>
      <c r="H47" s="340"/>
      <c r="I47" s="350"/>
      <c r="J47" s="480"/>
    </row>
    <row r="48" spans="1:10" s="329" customFormat="1">
      <c r="A48" s="348"/>
      <c r="B48" s="349"/>
      <c r="H48" s="340"/>
      <c r="I48" s="350"/>
      <c r="J48" s="480"/>
    </row>
    <row r="49" spans="1:10" s="329" customFormat="1">
      <c r="A49" s="348"/>
      <c r="B49" s="349"/>
      <c r="H49" s="340"/>
      <c r="I49" s="350"/>
      <c r="J49" s="480"/>
    </row>
    <row r="50" spans="1:10" s="329" customFormat="1">
      <c r="A50" s="348"/>
      <c r="B50" s="349"/>
      <c r="H50" s="340"/>
      <c r="I50" s="350"/>
      <c r="J50" s="480"/>
    </row>
    <row r="51" spans="1:10" s="329" customFormat="1">
      <c r="A51" s="348"/>
      <c r="B51" s="349"/>
      <c r="H51" s="340"/>
      <c r="I51" s="350"/>
      <c r="J51" s="480"/>
    </row>
    <row r="52" spans="1:10" s="329" customFormat="1">
      <c r="A52" s="348"/>
      <c r="B52" s="349"/>
      <c r="H52" s="340"/>
      <c r="I52" s="350"/>
      <c r="J52" s="480"/>
    </row>
    <row r="53" spans="1:10" s="329" customFormat="1">
      <c r="A53" s="348"/>
      <c r="B53" s="349"/>
      <c r="H53" s="340"/>
      <c r="I53" s="350"/>
      <c r="J53" s="480"/>
    </row>
  </sheetData>
  <mergeCells count="8">
    <mergeCell ref="A32:M32"/>
    <mergeCell ref="A1:M1"/>
    <mergeCell ref="A2:M2"/>
    <mergeCell ref="A3:M3"/>
    <mergeCell ref="A30:G30"/>
    <mergeCell ref="A31:H31"/>
    <mergeCell ref="C5:G5"/>
    <mergeCell ref="I5:M5"/>
  </mergeCells>
  <pageMargins left="0.19685039370078741" right="0.31496062992125984" top="0.78740157480314965" bottom="0.23622047244094491" header="0" footer="0"/>
  <pageSetup scale="70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19"/>
  <sheetViews>
    <sheetView showGridLines="0" zoomScaleNormal="100" zoomScaleSheetLayoutView="100" workbookViewId="0">
      <selection sqref="A1:M1"/>
    </sheetView>
  </sheetViews>
  <sheetFormatPr defaultColWidth="9.81640625" defaultRowHeight="10.5"/>
  <cols>
    <col min="1" max="1" width="42.7265625" style="470" customWidth="1"/>
    <col min="2" max="2" width="1.7265625" style="366" customWidth="1"/>
    <col min="3" max="5" width="7.7265625" style="413" customWidth="1"/>
    <col min="6" max="7" width="7.7265625" style="464" customWidth="1"/>
    <col min="8" max="8" width="4.54296875" style="377" customWidth="1"/>
    <col min="9" max="13" width="7.7265625" style="413" customWidth="1"/>
    <col min="14" max="14" width="11.7265625" style="358" customWidth="1"/>
    <col min="15" max="16" width="11.1796875" style="358" bestFit="1" customWidth="1"/>
    <col min="17" max="16384" width="9.81640625" style="358"/>
  </cols>
  <sheetData>
    <row r="1" spans="1:16" ht="11.15" customHeight="1">
      <c r="A1" s="963" t="s">
        <v>228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357"/>
    </row>
    <row r="2" spans="1:16" ht="11.15" customHeight="1">
      <c r="A2" s="964" t="s">
        <v>22</v>
      </c>
      <c r="B2" s="964"/>
      <c r="C2" s="964"/>
      <c r="D2" s="964"/>
      <c r="E2" s="964"/>
      <c r="F2" s="964"/>
      <c r="G2" s="964"/>
      <c r="H2" s="964"/>
      <c r="I2" s="964"/>
      <c r="J2" s="964"/>
      <c r="K2" s="964"/>
      <c r="L2" s="964"/>
      <c r="M2" s="964"/>
      <c r="N2" s="359"/>
    </row>
    <row r="3" spans="1:16" ht="11.15" customHeight="1">
      <c r="A3" s="965" t="s">
        <v>2</v>
      </c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360"/>
    </row>
    <row r="4" spans="1:16" ht="11.15" customHeight="1">
      <c r="A4" s="467"/>
      <c r="B4" s="331"/>
      <c r="C4" s="460"/>
      <c r="D4" s="460"/>
      <c r="E4" s="461"/>
      <c r="F4" s="462"/>
      <c r="G4" s="462"/>
      <c r="H4" s="333"/>
      <c r="I4" s="460"/>
      <c r="J4" s="465"/>
    </row>
    <row r="5" spans="1:16" ht="15" customHeight="1">
      <c r="A5" s="468"/>
      <c r="B5" s="361"/>
      <c r="C5" s="986" t="s">
        <v>238</v>
      </c>
      <c r="D5" s="986"/>
      <c r="E5" s="986"/>
      <c r="F5" s="986"/>
      <c r="G5" s="986"/>
      <c r="H5" s="362"/>
      <c r="I5" s="986" t="s">
        <v>118</v>
      </c>
      <c r="J5" s="986"/>
      <c r="K5" s="986"/>
      <c r="L5" s="986"/>
      <c r="M5" s="986"/>
    </row>
    <row r="6" spans="1:16" s="384" customFormat="1" ht="15" customHeight="1">
      <c r="A6" s="396"/>
      <c r="B6" s="390"/>
      <c r="C6" s="475">
        <v>2017</v>
      </c>
      <c r="D6" s="475" t="s">
        <v>4</v>
      </c>
      <c r="E6" s="475">
        <v>2016</v>
      </c>
      <c r="F6" s="475" t="s">
        <v>4</v>
      </c>
      <c r="G6" s="476" t="s">
        <v>111</v>
      </c>
      <c r="H6" s="475"/>
      <c r="I6" s="475">
        <v>2017</v>
      </c>
      <c r="J6" s="475" t="s">
        <v>4</v>
      </c>
      <c r="K6" s="475">
        <v>2016</v>
      </c>
      <c r="L6" s="475" t="s">
        <v>4</v>
      </c>
      <c r="M6" s="476" t="s">
        <v>111</v>
      </c>
      <c r="N6" s="383"/>
    </row>
    <row r="7" spans="1:16" ht="13" customHeight="1">
      <c r="A7" s="294" t="s">
        <v>149</v>
      </c>
      <c r="B7" s="391"/>
      <c r="C7" s="416">
        <v>9473.2659999999996</v>
      </c>
      <c r="D7" s="417">
        <v>100</v>
      </c>
      <c r="E7" s="416">
        <v>6936.7479999999996</v>
      </c>
      <c r="F7" s="417">
        <v>100</v>
      </c>
      <c r="G7" s="417">
        <v>36.56638528601588</v>
      </c>
      <c r="H7" s="418"/>
      <c r="I7" s="416">
        <v>18587.012999999999</v>
      </c>
      <c r="J7" s="417">
        <v>100</v>
      </c>
      <c r="K7" s="416">
        <v>13014.782999999999</v>
      </c>
      <c r="L7" s="417">
        <v>100</v>
      </c>
      <c r="M7" s="417">
        <v>42.814620881500673</v>
      </c>
      <c r="O7" s="364"/>
      <c r="P7" s="364"/>
    </row>
    <row r="8" spans="1:16" ht="13" customHeight="1">
      <c r="A8" s="397" t="s">
        <v>6</v>
      </c>
      <c r="B8" s="391"/>
      <c r="C8" s="845">
        <v>8866.2659999999996</v>
      </c>
      <c r="D8" s="419">
        <v>93.6</v>
      </c>
      <c r="E8" s="845">
        <v>6389.7479999999996</v>
      </c>
      <c r="F8" s="419">
        <v>92.1</v>
      </c>
      <c r="G8" s="419">
        <v>38.757678706578112</v>
      </c>
      <c r="H8" s="420"/>
      <c r="I8" s="845">
        <v>17358.012999999999</v>
      </c>
      <c r="J8" s="419">
        <v>93.4</v>
      </c>
      <c r="K8" s="845">
        <v>12003.782999999999</v>
      </c>
      <c r="L8" s="419">
        <v>92.2</v>
      </c>
      <c r="M8" s="419">
        <v>44.60452175784917</v>
      </c>
      <c r="O8" s="364"/>
    </row>
    <row r="9" spans="1:16" ht="13" customHeight="1">
      <c r="A9" s="398" t="s">
        <v>7</v>
      </c>
      <c r="B9" s="391"/>
      <c r="C9" s="846">
        <v>607</v>
      </c>
      <c r="D9" s="421">
        <v>6.4</v>
      </c>
      <c r="E9" s="846">
        <v>547</v>
      </c>
      <c r="F9" s="421">
        <v>7.9</v>
      </c>
      <c r="G9" s="421">
        <v>10.968921389396712</v>
      </c>
      <c r="H9" s="420"/>
      <c r="I9" s="846">
        <v>1229</v>
      </c>
      <c r="J9" s="421">
        <v>6.6</v>
      </c>
      <c r="K9" s="846">
        <v>1011</v>
      </c>
      <c r="L9" s="421">
        <v>7.8</v>
      </c>
      <c r="M9" s="421">
        <v>21.562809099901092</v>
      </c>
    </row>
    <row r="10" spans="1:16" ht="13" customHeight="1">
      <c r="A10" s="399" t="s">
        <v>34</v>
      </c>
      <c r="B10" s="393"/>
      <c r="C10" s="847">
        <v>38</v>
      </c>
      <c r="D10" s="422">
        <v>0.4</v>
      </c>
      <c r="E10" s="847">
        <v>31</v>
      </c>
      <c r="F10" s="422">
        <v>0.4</v>
      </c>
      <c r="G10" s="422">
        <v>22.580645161290324</v>
      </c>
      <c r="H10" s="423"/>
      <c r="I10" s="847">
        <v>74</v>
      </c>
      <c r="J10" s="422">
        <v>0.4</v>
      </c>
      <c r="K10" s="847">
        <v>62</v>
      </c>
      <c r="L10" s="422">
        <v>0.5</v>
      </c>
      <c r="M10" s="422">
        <v>19.354838709677423</v>
      </c>
    </row>
    <row r="11" spans="1:16" ht="13" customHeight="1">
      <c r="A11" s="400" t="s">
        <v>35</v>
      </c>
      <c r="B11" s="393"/>
      <c r="C11" s="416">
        <v>563</v>
      </c>
      <c r="D11" s="417">
        <v>6</v>
      </c>
      <c r="E11" s="416">
        <v>456</v>
      </c>
      <c r="F11" s="417">
        <v>6.6</v>
      </c>
      <c r="G11" s="417">
        <v>23.464912280701753</v>
      </c>
      <c r="H11" s="420"/>
      <c r="I11" s="416">
        <v>1084</v>
      </c>
      <c r="J11" s="417">
        <v>5.8999999999999995</v>
      </c>
      <c r="K11" s="416">
        <v>860</v>
      </c>
      <c r="L11" s="417">
        <v>6.6</v>
      </c>
      <c r="M11" s="417">
        <v>26.046511627906987</v>
      </c>
    </row>
    <row r="12" spans="1:16" ht="13" customHeight="1">
      <c r="A12" s="397" t="s">
        <v>75</v>
      </c>
      <c r="B12" s="391"/>
      <c r="C12" s="845">
        <v>4</v>
      </c>
      <c r="D12" s="419">
        <v>0</v>
      </c>
      <c r="E12" s="845">
        <v>1</v>
      </c>
      <c r="F12" s="419">
        <v>0</v>
      </c>
      <c r="G12" s="419" t="s">
        <v>105</v>
      </c>
      <c r="H12" s="420"/>
      <c r="I12" s="845">
        <v>6</v>
      </c>
      <c r="J12" s="419">
        <v>0</v>
      </c>
      <c r="K12" s="845">
        <v>1</v>
      </c>
      <c r="L12" s="419">
        <v>0</v>
      </c>
      <c r="M12" s="419" t="s">
        <v>105</v>
      </c>
    </row>
    <row r="13" spans="1:16" s="369" customFormat="1" ht="13" customHeight="1">
      <c r="A13" s="401" t="s">
        <v>72</v>
      </c>
      <c r="B13" s="394"/>
      <c r="C13" s="857">
        <v>2</v>
      </c>
      <c r="D13" s="421">
        <v>0</v>
      </c>
      <c r="E13" s="857">
        <v>59</v>
      </c>
      <c r="F13" s="421">
        <v>0.9</v>
      </c>
      <c r="G13" s="421">
        <v>-96.610169491525426</v>
      </c>
      <c r="H13" s="418"/>
      <c r="I13" s="857">
        <v>65</v>
      </c>
      <c r="J13" s="421">
        <v>0.3</v>
      </c>
      <c r="K13" s="857">
        <v>88</v>
      </c>
      <c r="L13" s="421">
        <v>0.7</v>
      </c>
      <c r="M13" s="421">
        <v>-26.136363636363637</v>
      </c>
    </row>
    <row r="14" spans="1:16" ht="13" customHeight="1">
      <c r="A14" s="402" t="s">
        <v>17</v>
      </c>
      <c r="B14" s="392"/>
      <c r="C14" s="847">
        <v>26</v>
      </c>
      <c r="D14" s="422">
        <v>0.3</v>
      </c>
      <c r="E14" s="847">
        <v>20</v>
      </c>
      <c r="F14" s="422">
        <v>0.3</v>
      </c>
      <c r="G14" s="422">
        <v>30.000000000000004</v>
      </c>
      <c r="H14" s="424"/>
      <c r="I14" s="847">
        <v>50</v>
      </c>
      <c r="J14" s="422">
        <v>0.3</v>
      </c>
      <c r="K14" s="847">
        <v>39</v>
      </c>
      <c r="L14" s="422">
        <v>0.3</v>
      </c>
      <c r="M14" s="422">
        <v>28.205128205128215</v>
      </c>
    </row>
    <row r="15" spans="1:16" ht="13" customHeight="1">
      <c r="A15" s="403" t="s">
        <v>76</v>
      </c>
      <c r="B15" s="391"/>
      <c r="C15" s="860">
        <v>9</v>
      </c>
      <c r="D15" s="425">
        <v>0.10000000000000003</v>
      </c>
      <c r="E15" s="860">
        <v>4</v>
      </c>
      <c r="F15" s="425">
        <v>0</v>
      </c>
      <c r="G15" s="425">
        <v>125</v>
      </c>
      <c r="H15" s="420"/>
      <c r="I15" s="860">
        <v>14</v>
      </c>
      <c r="J15" s="425">
        <v>9.9999999999999978E-2</v>
      </c>
      <c r="K15" s="860">
        <v>8</v>
      </c>
      <c r="L15" s="425">
        <v>0</v>
      </c>
      <c r="M15" s="425">
        <v>75</v>
      </c>
    </row>
    <row r="16" spans="1:16" ht="13" customHeight="1">
      <c r="A16" s="404" t="s">
        <v>182</v>
      </c>
      <c r="B16" s="391"/>
      <c r="C16" s="847">
        <v>37</v>
      </c>
      <c r="D16" s="422">
        <v>0.4</v>
      </c>
      <c r="E16" s="847">
        <v>83</v>
      </c>
      <c r="F16" s="422">
        <v>1.2</v>
      </c>
      <c r="G16" s="422">
        <v>-55.421686746987952</v>
      </c>
      <c r="H16" s="418"/>
      <c r="I16" s="847">
        <v>129</v>
      </c>
      <c r="J16" s="422">
        <v>0.7</v>
      </c>
      <c r="K16" s="847">
        <v>135</v>
      </c>
      <c r="L16" s="422">
        <v>1</v>
      </c>
      <c r="M16" s="422">
        <v>-4.4444444444444393</v>
      </c>
      <c r="O16" s="364"/>
      <c r="P16" s="364"/>
    </row>
    <row r="17" spans="1:16" s="371" customFormat="1" ht="13" customHeight="1" thickBot="1">
      <c r="A17" s="405" t="s">
        <v>18</v>
      </c>
      <c r="B17" s="395"/>
      <c r="C17" s="852">
        <v>41</v>
      </c>
      <c r="D17" s="426"/>
      <c r="E17" s="852">
        <v>60</v>
      </c>
      <c r="F17" s="679"/>
      <c r="G17" s="427">
        <v>-31.666666666666664</v>
      </c>
      <c r="H17" s="428"/>
      <c r="I17" s="852">
        <v>79</v>
      </c>
      <c r="J17" s="426"/>
      <c r="K17" s="852">
        <v>95</v>
      </c>
      <c r="L17" s="679"/>
      <c r="M17" s="427">
        <v>-16.84210526315789</v>
      </c>
      <c r="O17" s="372"/>
      <c r="P17" s="373"/>
    </row>
    <row r="18" spans="1:16" ht="11.15" customHeight="1">
      <c r="A18" s="406"/>
      <c r="B18" s="273"/>
      <c r="C18" s="433">
        <v>605</v>
      </c>
      <c r="D18" s="434"/>
      <c r="E18" s="433">
        <v>488</v>
      </c>
      <c r="F18" s="435"/>
      <c r="G18" s="436">
        <v>23.975409836065566</v>
      </c>
      <c r="H18" s="437"/>
      <c r="I18" s="438"/>
      <c r="J18" s="438"/>
      <c r="K18" s="430"/>
      <c r="L18" s="439"/>
      <c r="M18" s="439"/>
    </row>
    <row r="19" spans="1:16" s="366" customFormat="1" ht="15" customHeight="1">
      <c r="A19" s="601" t="s">
        <v>231</v>
      </c>
      <c r="B19" s="873"/>
      <c r="C19" s="873"/>
      <c r="D19" s="873"/>
      <c r="E19" s="874"/>
      <c r="F19" s="455"/>
      <c r="G19" s="455"/>
      <c r="H19" s="442"/>
      <c r="I19" s="443"/>
      <c r="J19" s="440"/>
      <c r="K19" s="442"/>
      <c r="L19" s="442"/>
      <c r="M19" s="442"/>
    </row>
    <row r="20" spans="1:16" ht="13" customHeight="1">
      <c r="A20" s="408" t="s">
        <v>150</v>
      </c>
      <c r="B20" s="375"/>
      <c r="C20" s="868"/>
      <c r="D20" s="868"/>
      <c r="E20" s="868"/>
      <c r="F20" s="862"/>
      <c r="G20" s="458"/>
      <c r="H20" s="445"/>
      <c r="I20" s="444">
        <v>390</v>
      </c>
      <c r="J20" s="444"/>
      <c r="K20" s="444">
        <v>335</v>
      </c>
      <c r="L20" s="446"/>
      <c r="M20" s="422">
        <v>16.417910447761198</v>
      </c>
    </row>
    <row r="21" spans="1:16" ht="13" customHeight="1">
      <c r="A21" s="409" t="s">
        <v>148</v>
      </c>
      <c r="B21" s="376"/>
      <c r="C21" s="431"/>
      <c r="D21" s="448"/>
      <c r="E21" s="431"/>
      <c r="F21" s="448"/>
      <c r="G21" s="449"/>
      <c r="H21" s="448"/>
      <c r="I21" s="431"/>
      <c r="J21" s="448"/>
      <c r="K21" s="431"/>
      <c r="L21" s="448"/>
      <c r="M21" s="418"/>
    </row>
    <row r="22" spans="1:16" ht="13" customHeight="1">
      <c r="A22" s="402" t="s">
        <v>167</v>
      </c>
      <c r="B22" s="376"/>
      <c r="C22" s="450">
        <v>2</v>
      </c>
      <c r="D22" s="451"/>
      <c r="E22" s="450">
        <v>16</v>
      </c>
      <c r="F22" s="452"/>
      <c r="G22" s="422">
        <v>-87.5</v>
      </c>
      <c r="H22" s="448"/>
      <c r="I22" s="609"/>
      <c r="J22" s="448"/>
      <c r="K22" s="609"/>
      <c r="L22" s="448"/>
      <c r="M22" s="418"/>
      <c r="P22" s="366"/>
    </row>
    <row r="23" spans="1:16" ht="13" customHeight="1">
      <c r="A23" s="409" t="s">
        <v>168</v>
      </c>
      <c r="B23" s="376"/>
      <c r="C23" s="861">
        <v>8</v>
      </c>
      <c r="D23" s="448"/>
      <c r="E23" s="868">
        <v>28</v>
      </c>
      <c r="F23" s="453"/>
      <c r="G23" s="418">
        <v>-71.428571428571431</v>
      </c>
      <c r="H23" s="448"/>
      <c r="I23" s="448"/>
      <c r="J23" s="448"/>
      <c r="K23" s="448"/>
      <c r="L23" s="448"/>
      <c r="M23" s="448"/>
    </row>
    <row r="24" spans="1:16" ht="13" customHeight="1">
      <c r="A24" s="402" t="s">
        <v>166</v>
      </c>
      <c r="B24" s="376"/>
      <c r="C24" s="450">
        <v>55</v>
      </c>
      <c r="D24" s="451"/>
      <c r="E24" s="450">
        <v>86</v>
      </c>
      <c r="F24" s="452"/>
      <c r="G24" s="422">
        <v>-36.046511627906973</v>
      </c>
      <c r="H24" s="418"/>
      <c r="I24" s="684"/>
      <c r="J24" s="454"/>
      <c r="K24" s="684"/>
      <c r="L24" s="454"/>
      <c r="M24" s="445"/>
    </row>
    <row r="25" spans="1:16" ht="13" customHeight="1">
      <c r="A25" s="409"/>
      <c r="B25" s="376"/>
      <c r="C25" s="869"/>
      <c r="D25" s="685"/>
      <c r="E25" s="869"/>
      <c r="F25" s="455"/>
      <c r="G25" s="418"/>
      <c r="H25" s="418"/>
      <c r="I25" s="684"/>
      <c r="J25" s="456"/>
      <c r="K25" s="684"/>
      <c r="L25" s="456"/>
      <c r="M25" s="445"/>
    </row>
    <row r="26" spans="1:16" ht="13" customHeight="1">
      <c r="A26" s="402" t="s">
        <v>224</v>
      </c>
      <c r="B26" s="376"/>
      <c r="C26" s="450">
        <v>661.34299999999996</v>
      </c>
      <c r="D26" s="451"/>
      <c r="E26" s="450">
        <v>596.99099999999999</v>
      </c>
      <c r="F26" s="457"/>
      <c r="G26" s="422">
        <v>10.779391984133756</v>
      </c>
      <c r="H26" s="418"/>
      <c r="I26" s="450">
        <v>1292.4870000000001</v>
      </c>
      <c r="J26" s="451"/>
      <c r="K26" s="450">
        <v>1117.712</v>
      </c>
      <c r="L26" s="457"/>
      <c r="M26" s="422">
        <v>15.636854574344738</v>
      </c>
    </row>
    <row r="27" spans="1:16" ht="13" customHeight="1">
      <c r="A27" s="409"/>
      <c r="B27" s="376"/>
      <c r="C27" s="431"/>
      <c r="D27" s="455"/>
      <c r="E27" s="431"/>
      <c r="F27" s="455"/>
      <c r="G27" s="418"/>
      <c r="H27" s="418"/>
      <c r="I27" s="684"/>
      <c r="J27" s="456"/>
      <c r="K27" s="684"/>
      <c r="L27" s="456"/>
      <c r="M27" s="445"/>
    </row>
    <row r="28" spans="1:16" ht="13" customHeight="1">
      <c r="A28" s="410" t="s">
        <v>225</v>
      </c>
      <c r="B28" s="375"/>
      <c r="C28" s="862"/>
      <c r="D28" s="455"/>
      <c r="E28" s="862"/>
      <c r="F28" s="455"/>
      <c r="G28" s="428"/>
      <c r="H28" s="428"/>
      <c r="I28" s="428"/>
      <c r="J28" s="455"/>
      <c r="K28" s="428"/>
      <c r="L28" s="455"/>
      <c r="M28" s="428"/>
    </row>
    <row r="29" spans="1:16" ht="13" customHeight="1">
      <c r="A29" s="399" t="s">
        <v>38</v>
      </c>
      <c r="B29" s="375"/>
      <c r="C29" s="447">
        <v>8619.2188449848018</v>
      </c>
      <c r="D29" s="686"/>
      <c r="E29" s="447">
        <v>7028.104817155724</v>
      </c>
      <c r="F29" s="457"/>
      <c r="G29" s="422">
        <v>22.639304182617504</v>
      </c>
      <c r="H29" s="418"/>
      <c r="I29" s="447">
        <v>8391.9199241152564</v>
      </c>
      <c r="J29" s="686"/>
      <c r="K29" s="447">
        <v>6777.6076975661244</v>
      </c>
      <c r="L29" s="457"/>
      <c r="M29" s="422">
        <v>23.818319067491032</v>
      </c>
    </row>
    <row r="30" spans="1:16" ht="13" customHeight="1">
      <c r="A30" s="411" t="s">
        <v>175</v>
      </c>
      <c r="C30" s="458">
        <v>601.516717325228</v>
      </c>
      <c r="D30" s="685"/>
      <c r="E30" s="458">
        <v>604.84093211752781</v>
      </c>
      <c r="F30" s="455"/>
      <c r="G30" s="418">
        <v>-0.54960149285231408</v>
      </c>
      <c r="H30" s="420"/>
      <c r="I30" s="458">
        <v>582.98281250000002</v>
      </c>
      <c r="J30" s="685"/>
      <c r="K30" s="458">
        <v>582.13022805208323</v>
      </c>
      <c r="L30" s="455"/>
      <c r="M30" s="418">
        <v>0.14645940149331516</v>
      </c>
    </row>
    <row r="31" spans="1:16" ht="13" customHeight="1" thickBot="1">
      <c r="A31" s="412" t="s">
        <v>151</v>
      </c>
      <c r="B31" s="388"/>
      <c r="C31" s="859">
        <v>14.329142643469647</v>
      </c>
      <c r="D31" s="687"/>
      <c r="E31" s="859">
        <v>11.61975726832932</v>
      </c>
      <c r="F31" s="459"/>
      <c r="G31" s="432">
        <v>23.317056566448223</v>
      </c>
      <c r="H31" s="420"/>
      <c r="I31" s="859">
        <v>14.394798172742453</v>
      </c>
      <c r="J31" s="687"/>
      <c r="K31" s="859">
        <v>11.642768870198116</v>
      </c>
      <c r="L31" s="459"/>
      <c r="M31" s="432">
        <v>23.637240704732008</v>
      </c>
    </row>
    <row r="32" spans="1:16" s="366" customFormat="1">
      <c r="A32" s="987"/>
      <c r="B32" s="987"/>
      <c r="C32" s="987"/>
      <c r="D32" s="987"/>
      <c r="E32" s="987"/>
      <c r="F32" s="987"/>
      <c r="G32" s="987"/>
      <c r="H32" s="987"/>
      <c r="I32" s="987"/>
      <c r="J32" s="987"/>
      <c r="K32" s="987"/>
      <c r="L32" s="987"/>
      <c r="M32" s="987"/>
    </row>
    <row r="33" spans="1:13" s="366" customFormat="1" ht="11.15" customHeight="1">
      <c r="A33" s="469"/>
      <c r="B33" s="414"/>
      <c r="C33" s="463"/>
      <c r="D33" s="463"/>
      <c r="E33" s="463"/>
      <c r="F33" s="463"/>
      <c r="G33" s="463"/>
      <c r="H33" s="414"/>
      <c r="I33" s="463"/>
      <c r="J33" s="463"/>
      <c r="K33" s="463"/>
      <c r="L33" s="463"/>
      <c r="M33" s="463"/>
    </row>
    <row r="34" spans="1:13" s="366" customFormat="1" ht="11.15" customHeight="1">
      <c r="A34" s="982" t="s">
        <v>226</v>
      </c>
      <c r="B34" s="982"/>
      <c r="C34" s="982"/>
      <c r="D34" s="982"/>
      <c r="E34" s="982"/>
      <c r="F34" s="982"/>
      <c r="G34" s="982"/>
      <c r="H34" s="415"/>
      <c r="I34" s="466"/>
      <c r="J34" s="466"/>
      <c r="K34" s="466"/>
      <c r="L34" s="466"/>
      <c r="M34" s="466"/>
    </row>
    <row r="35" spans="1:13">
      <c r="A35" s="936"/>
      <c r="B35" s="934"/>
      <c r="C35" s="933"/>
      <c r="D35" s="933"/>
      <c r="E35" s="933"/>
      <c r="F35" s="932"/>
      <c r="G35" s="932"/>
      <c r="H35" s="935"/>
      <c r="I35" s="933"/>
      <c r="J35" s="933"/>
    </row>
    <row r="36" spans="1:13">
      <c r="A36" s="936"/>
      <c r="B36" s="934"/>
      <c r="C36" s="933"/>
      <c r="D36" s="933"/>
      <c r="E36" s="933"/>
      <c r="F36" s="932"/>
      <c r="G36" s="932"/>
      <c r="H36" s="935"/>
      <c r="I36" s="933"/>
      <c r="J36" s="933"/>
    </row>
    <row r="37" spans="1:13">
      <c r="A37" s="936"/>
      <c r="B37" s="934"/>
      <c r="C37" s="933"/>
      <c r="D37" s="933"/>
      <c r="E37" s="933"/>
      <c r="F37" s="932"/>
      <c r="G37" s="932"/>
      <c r="H37" s="935"/>
      <c r="I37" s="933"/>
      <c r="J37" s="933"/>
    </row>
    <row r="38" spans="1:13">
      <c r="A38" s="936"/>
      <c r="B38" s="934"/>
      <c r="C38" s="933"/>
      <c r="D38" s="933"/>
      <c r="E38" s="933"/>
      <c r="F38" s="932"/>
      <c r="G38" s="932"/>
      <c r="H38" s="935"/>
      <c r="I38" s="933"/>
      <c r="J38" s="933"/>
    </row>
    <row r="39" spans="1:13">
      <c r="A39" s="936"/>
      <c r="B39" s="934"/>
      <c r="C39" s="933"/>
      <c r="D39" s="933"/>
      <c r="E39" s="933"/>
      <c r="F39" s="932"/>
      <c r="G39" s="932"/>
      <c r="H39" s="935"/>
      <c r="I39" s="933"/>
      <c r="J39" s="933"/>
    </row>
    <row r="40" spans="1:13">
      <c r="A40" s="936"/>
      <c r="B40" s="934"/>
      <c r="C40" s="933"/>
      <c r="D40" s="933"/>
      <c r="E40" s="933"/>
      <c r="F40" s="932"/>
      <c r="G40" s="932"/>
      <c r="H40" s="935"/>
      <c r="I40" s="933"/>
      <c r="J40" s="933"/>
    </row>
    <row r="41" spans="1:13">
      <c r="A41" s="936"/>
      <c r="B41" s="934"/>
      <c r="C41" s="933"/>
      <c r="D41" s="933"/>
      <c r="E41" s="933"/>
      <c r="F41" s="932"/>
      <c r="G41" s="932"/>
      <c r="H41" s="935"/>
      <c r="I41" s="933"/>
      <c r="J41" s="933"/>
    </row>
    <row r="42" spans="1:13">
      <c r="A42" s="936"/>
      <c r="B42" s="934"/>
      <c r="C42" s="933"/>
      <c r="D42" s="933"/>
      <c r="E42" s="933"/>
      <c r="F42" s="932"/>
      <c r="G42" s="932"/>
      <c r="H42" s="935"/>
      <c r="I42" s="933"/>
      <c r="J42" s="933"/>
    </row>
    <row r="43" spans="1:13">
      <c r="A43" s="936"/>
      <c r="B43" s="934"/>
      <c r="C43" s="933"/>
      <c r="D43" s="933"/>
      <c r="E43" s="933"/>
      <c r="F43" s="932"/>
      <c r="G43" s="932"/>
      <c r="H43" s="935"/>
      <c r="I43" s="933"/>
      <c r="J43" s="933"/>
    </row>
    <row r="44" spans="1:13">
      <c r="A44" s="936"/>
      <c r="B44" s="934"/>
      <c r="C44" s="933"/>
      <c r="D44" s="933"/>
      <c r="E44" s="933"/>
      <c r="F44" s="932"/>
      <c r="G44" s="932"/>
      <c r="H44" s="935"/>
      <c r="I44" s="933"/>
      <c r="J44" s="933"/>
    </row>
    <row r="45" spans="1:13">
      <c r="A45" s="936"/>
      <c r="B45" s="934"/>
      <c r="C45" s="933"/>
      <c r="D45" s="933"/>
      <c r="E45" s="933"/>
      <c r="F45" s="932"/>
      <c r="G45" s="932"/>
      <c r="H45" s="935"/>
      <c r="I45" s="933"/>
      <c r="J45" s="933"/>
    </row>
    <row r="46" spans="1:13">
      <c r="A46" s="936"/>
      <c r="B46" s="934"/>
      <c r="C46" s="933"/>
      <c r="D46" s="933"/>
      <c r="E46" s="933"/>
      <c r="F46" s="932"/>
      <c r="G46" s="932"/>
      <c r="H46" s="935"/>
      <c r="I46" s="933"/>
      <c r="J46" s="933"/>
    </row>
    <row r="47" spans="1:13">
      <c r="A47" s="936"/>
      <c r="B47" s="934"/>
      <c r="C47" s="933"/>
      <c r="D47" s="933"/>
      <c r="E47" s="933"/>
      <c r="F47" s="932"/>
      <c r="G47" s="932"/>
      <c r="H47" s="935"/>
      <c r="I47" s="933"/>
      <c r="J47" s="933"/>
    </row>
    <row r="48" spans="1:13">
      <c r="A48" s="936"/>
      <c r="B48" s="934"/>
      <c r="C48" s="933"/>
      <c r="D48" s="933"/>
      <c r="E48" s="933"/>
      <c r="F48" s="932"/>
      <c r="G48" s="932"/>
      <c r="H48" s="935"/>
      <c r="I48" s="933"/>
      <c r="J48" s="933"/>
    </row>
    <row r="49" spans="1:10">
      <c r="A49" s="936"/>
      <c r="B49" s="934"/>
      <c r="C49" s="933"/>
      <c r="D49" s="933"/>
      <c r="E49" s="933"/>
      <c r="F49" s="932"/>
      <c r="G49" s="932"/>
      <c r="H49" s="935"/>
      <c r="I49" s="933"/>
      <c r="J49" s="933"/>
    </row>
    <row r="50" spans="1:10">
      <c r="A50" s="936"/>
      <c r="B50" s="934"/>
      <c r="C50" s="933"/>
      <c r="D50" s="933"/>
      <c r="E50" s="933"/>
      <c r="F50" s="932"/>
      <c r="G50" s="932"/>
      <c r="H50" s="935"/>
      <c r="I50" s="933"/>
      <c r="J50" s="933"/>
    </row>
    <row r="51" spans="1:10">
      <c r="A51" s="936"/>
      <c r="B51" s="934"/>
      <c r="C51" s="933"/>
      <c r="D51" s="933"/>
      <c r="E51" s="933"/>
      <c r="F51" s="932"/>
      <c r="G51" s="932"/>
      <c r="H51" s="935"/>
      <c r="I51" s="933"/>
      <c r="J51" s="933"/>
    </row>
    <row r="52" spans="1:10">
      <c r="A52" s="936"/>
      <c r="B52" s="934"/>
      <c r="C52" s="933"/>
      <c r="D52" s="933"/>
      <c r="E52" s="933"/>
      <c r="F52" s="932"/>
      <c r="G52" s="932"/>
      <c r="H52" s="935"/>
      <c r="I52" s="933"/>
      <c r="J52" s="933"/>
    </row>
    <row r="53" spans="1:10">
      <c r="A53" s="936"/>
      <c r="B53" s="934"/>
      <c r="C53" s="933"/>
      <c r="D53" s="933"/>
      <c r="E53" s="933"/>
      <c r="F53" s="932"/>
      <c r="G53" s="932"/>
      <c r="H53" s="935"/>
      <c r="I53" s="933"/>
      <c r="J53" s="933"/>
    </row>
    <row r="54" spans="1:10">
      <c r="A54" s="936"/>
      <c r="B54" s="934"/>
      <c r="C54" s="933"/>
      <c r="D54" s="933"/>
      <c r="E54" s="933"/>
      <c r="F54" s="932"/>
      <c r="G54" s="932"/>
      <c r="H54" s="935"/>
      <c r="I54" s="933"/>
      <c r="J54" s="933"/>
    </row>
    <row r="55" spans="1:10">
      <c r="A55" s="936"/>
      <c r="B55" s="934"/>
      <c r="C55" s="933"/>
      <c r="D55" s="933"/>
      <c r="E55" s="933"/>
      <c r="F55" s="932"/>
      <c r="G55" s="932"/>
      <c r="H55" s="935"/>
      <c r="I55" s="933"/>
      <c r="J55" s="933"/>
    </row>
    <row r="56" spans="1:10">
      <c r="A56" s="936"/>
      <c r="B56" s="934"/>
      <c r="C56" s="933"/>
      <c r="D56" s="933"/>
      <c r="E56" s="933"/>
      <c r="F56" s="932"/>
      <c r="G56" s="932"/>
      <c r="H56" s="935"/>
      <c r="I56" s="933"/>
      <c r="J56" s="933"/>
    </row>
    <row r="57" spans="1:10">
      <c r="A57" s="936"/>
      <c r="B57" s="934"/>
      <c r="C57" s="933"/>
      <c r="D57" s="933"/>
      <c r="E57" s="933"/>
      <c r="F57" s="932"/>
      <c r="G57" s="932"/>
      <c r="H57" s="935"/>
      <c r="I57" s="933"/>
      <c r="J57" s="933"/>
    </row>
    <row r="58" spans="1:10">
      <c r="A58" s="936"/>
      <c r="B58" s="934"/>
      <c r="C58" s="933"/>
      <c r="D58" s="933"/>
      <c r="E58" s="933"/>
      <c r="F58" s="932"/>
      <c r="G58" s="932"/>
      <c r="H58" s="935"/>
      <c r="I58" s="933"/>
      <c r="J58" s="933"/>
    </row>
    <row r="59" spans="1:10">
      <c r="A59" s="936"/>
      <c r="B59" s="934"/>
      <c r="C59" s="933"/>
      <c r="D59" s="933"/>
      <c r="E59" s="933"/>
      <c r="F59" s="932"/>
      <c r="G59" s="932"/>
      <c r="H59" s="935"/>
      <c r="I59" s="933"/>
      <c r="J59" s="933"/>
    </row>
    <row r="60" spans="1:10">
      <c r="A60" s="936"/>
      <c r="B60" s="934"/>
      <c r="C60" s="933"/>
      <c r="D60" s="933"/>
      <c r="E60" s="933"/>
      <c r="F60" s="932"/>
      <c r="G60" s="932"/>
      <c r="H60" s="935"/>
      <c r="I60" s="933"/>
      <c r="J60" s="933"/>
    </row>
    <row r="61" spans="1:10">
      <c r="A61" s="936"/>
      <c r="B61" s="934"/>
      <c r="C61" s="933"/>
      <c r="D61" s="933"/>
      <c r="E61" s="933"/>
      <c r="F61" s="932"/>
      <c r="G61" s="932"/>
      <c r="H61" s="935"/>
      <c r="I61" s="933"/>
      <c r="J61" s="933"/>
    </row>
    <row r="62" spans="1:10">
      <c r="A62" s="936"/>
      <c r="B62" s="934"/>
      <c r="C62" s="933"/>
      <c r="D62" s="933"/>
      <c r="E62" s="933"/>
      <c r="F62" s="932"/>
      <c r="G62" s="932"/>
      <c r="H62" s="935"/>
      <c r="I62" s="933"/>
      <c r="J62" s="933"/>
    </row>
    <row r="63" spans="1:10">
      <c r="A63" s="936"/>
      <c r="B63" s="934"/>
      <c r="C63" s="933"/>
      <c r="D63" s="933"/>
      <c r="E63" s="933"/>
      <c r="F63" s="932"/>
      <c r="G63" s="932"/>
      <c r="H63" s="935"/>
      <c r="I63" s="933"/>
      <c r="J63" s="933"/>
    </row>
    <row r="64" spans="1:10">
      <c r="A64" s="936"/>
      <c r="B64" s="934"/>
      <c r="C64" s="933"/>
      <c r="D64" s="933"/>
      <c r="E64" s="933"/>
      <c r="F64" s="932"/>
      <c r="G64" s="932"/>
      <c r="H64" s="935"/>
      <c r="I64" s="933"/>
      <c r="J64" s="933"/>
    </row>
    <row r="65" spans="1:10">
      <c r="A65" s="936"/>
      <c r="B65" s="934"/>
      <c r="C65" s="933"/>
      <c r="D65" s="933"/>
      <c r="E65" s="933"/>
      <c r="F65" s="932"/>
      <c r="G65" s="932"/>
      <c r="H65" s="935"/>
      <c r="I65" s="933"/>
      <c r="J65" s="933"/>
    </row>
    <row r="66" spans="1:10">
      <c r="A66" s="936"/>
      <c r="B66" s="934"/>
      <c r="C66" s="933"/>
      <c r="D66" s="933"/>
      <c r="E66" s="933"/>
      <c r="F66" s="932"/>
      <c r="G66" s="932"/>
      <c r="H66" s="935"/>
      <c r="I66" s="933"/>
      <c r="J66" s="933"/>
    </row>
    <row r="67" spans="1:10">
      <c r="A67" s="936"/>
      <c r="B67" s="934"/>
      <c r="C67" s="933"/>
      <c r="D67" s="933"/>
      <c r="E67" s="933"/>
      <c r="F67" s="932"/>
      <c r="G67" s="932"/>
      <c r="H67" s="935"/>
      <c r="I67" s="933"/>
      <c r="J67" s="933"/>
    </row>
    <row r="68" spans="1:10">
      <c r="A68" s="936"/>
      <c r="B68" s="934"/>
      <c r="C68" s="933"/>
      <c r="D68" s="933"/>
      <c r="E68" s="933"/>
      <c r="F68" s="932"/>
      <c r="G68" s="932"/>
      <c r="H68" s="935"/>
      <c r="I68" s="933"/>
      <c r="J68" s="933"/>
    </row>
    <row r="69" spans="1:10">
      <c r="A69" s="936"/>
      <c r="B69" s="934"/>
      <c r="C69" s="933"/>
      <c r="D69" s="933"/>
      <c r="E69" s="933"/>
      <c r="F69" s="932"/>
      <c r="G69" s="932"/>
      <c r="H69" s="935"/>
      <c r="I69" s="933"/>
      <c r="J69" s="933"/>
    </row>
    <row r="70" spans="1:10">
      <c r="A70" s="936"/>
      <c r="B70" s="934"/>
      <c r="C70" s="933"/>
      <c r="D70" s="933"/>
      <c r="E70" s="933"/>
      <c r="F70" s="932"/>
      <c r="G70" s="932"/>
      <c r="H70" s="935"/>
      <c r="I70" s="933"/>
      <c r="J70" s="933"/>
    </row>
    <row r="71" spans="1:10">
      <c r="A71" s="936"/>
      <c r="B71" s="934"/>
      <c r="C71" s="933"/>
      <c r="D71" s="933"/>
      <c r="E71" s="933"/>
      <c r="F71" s="932"/>
      <c r="G71" s="932"/>
      <c r="H71" s="935"/>
      <c r="I71" s="933"/>
      <c r="J71" s="933"/>
    </row>
    <row r="72" spans="1:10">
      <c r="A72" s="936"/>
      <c r="B72" s="934"/>
      <c r="C72" s="933"/>
      <c r="D72" s="933"/>
      <c r="E72" s="933"/>
      <c r="F72" s="932"/>
      <c r="G72" s="932"/>
      <c r="H72" s="935"/>
      <c r="I72" s="933"/>
      <c r="J72" s="933"/>
    </row>
    <row r="73" spans="1:10">
      <c r="A73" s="936"/>
      <c r="B73" s="934"/>
      <c r="C73" s="933"/>
      <c r="D73" s="933"/>
      <c r="E73" s="933"/>
      <c r="F73" s="932"/>
      <c r="G73" s="932"/>
      <c r="H73" s="935"/>
      <c r="I73" s="933"/>
      <c r="J73" s="933"/>
    </row>
    <row r="74" spans="1:10">
      <c r="A74" s="936"/>
      <c r="B74" s="934"/>
      <c r="C74" s="933"/>
      <c r="D74" s="933"/>
      <c r="E74" s="933"/>
      <c r="F74" s="932"/>
      <c r="G74" s="932"/>
      <c r="H74" s="935"/>
      <c r="I74" s="933"/>
      <c r="J74" s="933"/>
    </row>
    <row r="75" spans="1:10">
      <c r="A75" s="936"/>
      <c r="B75" s="934"/>
      <c r="C75" s="933"/>
      <c r="D75" s="933"/>
      <c r="E75" s="933"/>
      <c r="F75" s="932"/>
      <c r="G75" s="932"/>
      <c r="H75" s="935"/>
      <c r="I75" s="933"/>
      <c r="J75" s="933"/>
    </row>
    <row r="76" spans="1:10">
      <c r="A76" s="936"/>
      <c r="B76" s="934"/>
      <c r="C76" s="933"/>
      <c r="D76" s="933"/>
      <c r="E76" s="933"/>
      <c r="F76" s="932"/>
      <c r="G76" s="932"/>
      <c r="H76" s="935"/>
      <c r="I76" s="933"/>
      <c r="J76" s="933"/>
    </row>
    <row r="77" spans="1:10">
      <c r="A77" s="936"/>
      <c r="B77" s="934"/>
      <c r="C77" s="933"/>
      <c r="D77" s="933"/>
      <c r="E77" s="933"/>
      <c r="F77" s="932"/>
      <c r="G77" s="932"/>
      <c r="H77" s="935"/>
      <c r="I77" s="933"/>
      <c r="J77" s="933"/>
    </row>
    <row r="78" spans="1:10">
      <c r="A78" s="936"/>
      <c r="B78" s="934"/>
      <c r="C78" s="933"/>
      <c r="D78" s="933"/>
      <c r="E78" s="933"/>
      <c r="F78" s="932"/>
      <c r="G78" s="932"/>
      <c r="H78" s="935"/>
      <c r="I78" s="933"/>
      <c r="J78" s="933"/>
    </row>
    <row r="79" spans="1:10">
      <c r="A79" s="936"/>
      <c r="B79" s="934"/>
      <c r="C79" s="933"/>
      <c r="D79" s="933"/>
      <c r="E79" s="933"/>
      <c r="F79" s="932"/>
      <c r="G79" s="932"/>
      <c r="H79" s="935"/>
      <c r="I79" s="933"/>
      <c r="J79" s="933"/>
    </row>
    <row r="80" spans="1:10">
      <c r="A80" s="936"/>
      <c r="B80" s="934"/>
      <c r="C80" s="933"/>
      <c r="D80" s="933"/>
      <c r="E80" s="933"/>
      <c r="F80" s="932"/>
      <c r="G80" s="932"/>
      <c r="H80" s="935"/>
      <c r="I80" s="933"/>
      <c r="J80" s="933"/>
    </row>
    <row r="81" spans="1:10">
      <c r="A81" s="936"/>
      <c r="B81" s="934"/>
      <c r="C81" s="933"/>
      <c r="D81" s="933"/>
      <c r="E81" s="933"/>
      <c r="F81" s="932"/>
      <c r="G81" s="932"/>
      <c r="H81" s="935"/>
      <c r="I81" s="933"/>
      <c r="J81" s="933"/>
    </row>
    <row r="82" spans="1:10">
      <c r="A82" s="936"/>
      <c r="B82" s="934"/>
      <c r="C82" s="933"/>
      <c r="D82" s="933"/>
      <c r="E82" s="933"/>
      <c r="F82" s="932"/>
      <c r="G82" s="932"/>
      <c r="H82" s="935"/>
      <c r="I82" s="933"/>
      <c r="J82" s="933"/>
    </row>
    <row r="83" spans="1:10">
      <c r="A83" s="936"/>
      <c r="B83" s="934"/>
      <c r="C83" s="933"/>
      <c r="D83" s="933"/>
      <c r="E83" s="933"/>
      <c r="F83" s="932"/>
      <c r="G83" s="932"/>
      <c r="H83" s="935"/>
      <c r="I83" s="933"/>
      <c r="J83" s="933"/>
    </row>
    <row r="84" spans="1:10">
      <c r="A84" s="936"/>
      <c r="B84" s="934"/>
      <c r="C84" s="933"/>
      <c r="D84" s="933"/>
      <c r="E84" s="933"/>
      <c r="F84" s="932"/>
      <c r="G84" s="932"/>
      <c r="H84" s="935"/>
      <c r="I84" s="933"/>
      <c r="J84" s="933"/>
    </row>
    <row r="85" spans="1:10">
      <c r="A85" s="936"/>
      <c r="B85" s="934"/>
      <c r="C85" s="933"/>
      <c r="D85" s="933"/>
      <c r="E85" s="933"/>
      <c r="F85" s="932"/>
      <c r="G85" s="932"/>
      <c r="H85" s="935"/>
      <c r="I85" s="933"/>
      <c r="J85" s="933"/>
    </row>
    <row r="86" spans="1:10">
      <c r="A86" s="936"/>
      <c r="B86" s="934"/>
      <c r="C86" s="933"/>
      <c r="D86" s="933"/>
      <c r="E86" s="933"/>
      <c r="F86" s="932"/>
      <c r="G86" s="932"/>
      <c r="H86" s="935"/>
      <c r="I86" s="933"/>
      <c r="J86" s="933"/>
    </row>
    <row r="87" spans="1:10">
      <c r="A87" s="936"/>
      <c r="B87" s="934"/>
      <c r="C87" s="933"/>
      <c r="D87" s="933"/>
      <c r="E87" s="933"/>
      <c r="F87" s="932"/>
      <c r="G87" s="932"/>
      <c r="H87" s="935"/>
      <c r="I87" s="933"/>
      <c r="J87" s="933"/>
    </row>
    <row r="88" spans="1:10">
      <c r="A88" s="936"/>
      <c r="B88" s="934"/>
      <c r="C88" s="933"/>
      <c r="D88" s="933"/>
      <c r="E88" s="933"/>
      <c r="F88" s="932"/>
      <c r="G88" s="932"/>
      <c r="H88" s="935"/>
      <c r="I88" s="933"/>
      <c r="J88" s="933"/>
    </row>
    <row r="89" spans="1:10">
      <c r="A89" s="936"/>
      <c r="B89" s="934"/>
      <c r="C89" s="933"/>
      <c r="D89" s="933"/>
      <c r="E89" s="933"/>
      <c r="F89" s="932"/>
      <c r="G89" s="932"/>
      <c r="H89" s="935"/>
      <c r="I89" s="933"/>
      <c r="J89" s="933"/>
    </row>
    <row r="90" spans="1:10">
      <c r="A90" s="936"/>
      <c r="B90" s="934"/>
      <c r="C90" s="933"/>
      <c r="D90" s="933"/>
      <c r="E90" s="933"/>
      <c r="F90" s="932"/>
      <c r="G90" s="932"/>
      <c r="H90" s="935"/>
      <c r="I90" s="933"/>
      <c r="J90" s="933"/>
    </row>
    <row r="91" spans="1:10">
      <c r="A91" s="936"/>
      <c r="B91" s="934"/>
      <c r="C91" s="933"/>
      <c r="D91" s="933"/>
      <c r="E91" s="933"/>
      <c r="F91" s="932"/>
      <c r="G91" s="932"/>
      <c r="H91" s="935"/>
      <c r="I91" s="933"/>
      <c r="J91" s="933"/>
    </row>
    <row r="92" spans="1:10">
      <c r="A92" s="936"/>
      <c r="B92" s="934"/>
      <c r="C92" s="933"/>
      <c r="D92" s="933"/>
      <c r="E92" s="933"/>
      <c r="F92" s="932"/>
      <c r="G92" s="932"/>
      <c r="H92" s="935"/>
      <c r="I92" s="933"/>
      <c r="J92" s="933"/>
    </row>
    <row r="93" spans="1:10">
      <c r="A93" s="936"/>
      <c r="B93" s="934"/>
      <c r="C93" s="933"/>
      <c r="D93" s="933"/>
      <c r="E93" s="933"/>
      <c r="F93" s="932"/>
      <c r="G93" s="932"/>
      <c r="H93" s="935"/>
      <c r="I93" s="933"/>
      <c r="J93" s="933"/>
    </row>
    <row r="94" spans="1:10">
      <c r="A94" s="936"/>
      <c r="B94" s="934"/>
      <c r="C94" s="933"/>
      <c r="D94" s="933"/>
      <c r="E94" s="933"/>
      <c r="F94" s="932"/>
      <c r="G94" s="932"/>
      <c r="H94" s="935"/>
      <c r="I94" s="933"/>
      <c r="J94" s="933"/>
    </row>
    <row r="95" spans="1:10">
      <c r="A95" s="936"/>
      <c r="B95" s="934"/>
      <c r="C95" s="933"/>
      <c r="D95" s="933"/>
      <c r="E95" s="933"/>
      <c r="F95" s="932"/>
      <c r="G95" s="932"/>
      <c r="H95" s="935"/>
      <c r="I95" s="933"/>
      <c r="J95" s="933"/>
    </row>
    <row r="96" spans="1:10">
      <c r="A96" s="936"/>
      <c r="B96" s="934"/>
      <c r="C96" s="933"/>
      <c r="D96" s="933"/>
      <c r="E96" s="933"/>
      <c r="F96" s="932"/>
      <c r="G96" s="932"/>
      <c r="H96" s="935"/>
      <c r="I96" s="933"/>
      <c r="J96" s="933"/>
    </row>
    <row r="97" spans="1:10">
      <c r="A97" s="936"/>
      <c r="B97" s="934"/>
      <c r="C97" s="933"/>
      <c r="D97" s="933"/>
      <c r="E97" s="933"/>
      <c r="F97" s="932"/>
      <c r="G97" s="932"/>
      <c r="H97" s="935"/>
      <c r="I97" s="933"/>
      <c r="J97" s="933"/>
    </row>
    <row r="98" spans="1:10">
      <c r="A98" s="936"/>
      <c r="B98" s="934"/>
      <c r="C98" s="933"/>
      <c r="D98" s="933"/>
      <c r="E98" s="933"/>
      <c r="F98" s="932"/>
      <c r="G98" s="932"/>
      <c r="H98" s="935"/>
      <c r="I98" s="933"/>
      <c r="J98" s="933"/>
    </row>
    <row r="99" spans="1:10">
      <c r="A99" s="936"/>
      <c r="B99" s="934"/>
      <c r="C99" s="933"/>
      <c r="D99" s="933"/>
      <c r="E99" s="933"/>
      <c r="F99" s="932"/>
      <c r="G99" s="932"/>
      <c r="H99" s="935"/>
      <c r="I99" s="933"/>
      <c r="J99" s="933"/>
    </row>
    <row r="100" spans="1:10">
      <c r="A100" s="936"/>
      <c r="B100" s="934"/>
      <c r="C100" s="933"/>
      <c r="D100" s="933"/>
      <c r="E100" s="933"/>
      <c r="F100" s="932"/>
      <c r="G100" s="932"/>
      <c r="H100" s="935"/>
      <c r="I100" s="933"/>
      <c r="J100" s="933"/>
    </row>
    <row r="101" spans="1:10">
      <c r="A101" s="936"/>
      <c r="B101" s="934"/>
      <c r="C101" s="933"/>
      <c r="D101" s="933"/>
      <c r="E101" s="933"/>
      <c r="F101" s="932"/>
      <c r="G101" s="932"/>
      <c r="H101" s="935"/>
      <c r="I101" s="933"/>
      <c r="J101" s="933"/>
    </row>
    <row r="102" spans="1:10">
      <c r="A102" s="936"/>
      <c r="B102" s="934"/>
      <c r="C102" s="933"/>
      <c r="D102" s="933"/>
      <c r="E102" s="933"/>
      <c r="F102" s="932"/>
      <c r="G102" s="932"/>
      <c r="H102" s="935"/>
      <c r="I102" s="933"/>
      <c r="J102" s="933"/>
    </row>
    <row r="103" spans="1:10">
      <c r="A103" s="936"/>
      <c r="B103" s="934"/>
      <c r="C103" s="933"/>
      <c r="D103" s="933"/>
      <c r="E103" s="933"/>
      <c r="F103" s="932"/>
      <c r="G103" s="932"/>
      <c r="H103" s="935"/>
      <c r="I103" s="933"/>
      <c r="J103" s="933"/>
    </row>
    <row r="104" spans="1:10">
      <c r="A104" s="936"/>
      <c r="B104" s="934"/>
      <c r="C104" s="933"/>
      <c r="D104" s="933"/>
      <c r="E104" s="933"/>
      <c r="F104" s="932"/>
      <c r="G104" s="932"/>
      <c r="H104" s="935"/>
      <c r="I104" s="933"/>
      <c r="J104" s="933"/>
    </row>
    <row r="105" spans="1:10">
      <c r="A105" s="936"/>
      <c r="B105" s="934"/>
      <c r="C105" s="933"/>
      <c r="D105" s="933"/>
      <c r="E105" s="933"/>
      <c r="F105" s="932"/>
      <c r="G105" s="932"/>
      <c r="H105" s="935"/>
      <c r="I105" s="933"/>
      <c r="J105" s="933"/>
    </row>
    <row r="106" spans="1:10">
      <c r="A106" s="936"/>
      <c r="B106" s="934"/>
      <c r="C106" s="933"/>
      <c r="D106" s="933"/>
      <c r="E106" s="933"/>
      <c r="F106" s="932"/>
      <c r="G106" s="932"/>
      <c r="H106" s="935"/>
      <c r="I106" s="933"/>
      <c r="J106" s="933"/>
    </row>
    <row r="107" spans="1:10">
      <c r="A107" s="936"/>
      <c r="B107" s="934"/>
      <c r="C107" s="933"/>
      <c r="D107" s="933"/>
      <c r="E107" s="933"/>
      <c r="F107" s="932"/>
      <c r="G107" s="932"/>
      <c r="H107" s="935"/>
      <c r="I107" s="933"/>
      <c r="J107" s="933"/>
    </row>
    <row r="108" spans="1:10">
      <c r="A108" s="936"/>
      <c r="B108" s="934"/>
      <c r="C108" s="933"/>
      <c r="D108" s="933"/>
      <c r="E108" s="933"/>
      <c r="F108" s="932"/>
      <c r="G108" s="932"/>
      <c r="H108" s="935"/>
      <c r="I108" s="933"/>
      <c r="J108" s="933"/>
    </row>
    <row r="109" spans="1:10">
      <c r="A109" s="936"/>
      <c r="B109" s="934"/>
      <c r="C109" s="933"/>
      <c r="D109" s="933"/>
      <c r="E109" s="933"/>
      <c r="F109" s="932"/>
      <c r="G109" s="932"/>
      <c r="H109" s="935"/>
      <c r="I109" s="933"/>
      <c r="J109" s="933"/>
    </row>
    <row r="110" spans="1:10">
      <c r="A110" s="936"/>
      <c r="B110" s="934"/>
      <c r="C110" s="933"/>
      <c r="D110" s="933"/>
      <c r="E110" s="933"/>
      <c r="F110" s="932"/>
      <c r="G110" s="932"/>
      <c r="H110" s="935"/>
      <c r="I110" s="933"/>
      <c r="J110" s="933"/>
    </row>
    <row r="111" spans="1:10">
      <c r="A111" s="936"/>
      <c r="B111" s="934"/>
      <c r="C111" s="933"/>
      <c r="D111" s="933"/>
      <c r="E111" s="933"/>
      <c r="F111" s="932"/>
      <c r="G111" s="932"/>
      <c r="H111" s="935"/>
      <c r="I111" s="933"/>
      <c r="J111" s="933"/>
    </row>
    <row r="112" spans="1:10">
      <c r="A112" s="936"/>
      <c r="B112" s="934"/>
      <c r="C112" s="933"/>
      <c r="D112" s="933"/>
      <c r="E112" s="933"/>
      <c r="F112" s="932"/>
      <c r="G112" s="932"/>
      <c r="H112" s="935"/>
      <c r="I112" s="933"/>
      <c r="J112" s="933"/>
    </row>
    <row r="113" spans="1:10">
      <c r="A113" s="936"/>
      <c r="B113" s="934"/>
      <c r="C113" s="933"/>
      <c r="D113" s="933"/>
      <c r="E113" s="933"/>
      <c r="F113" s="932"/>
      <c r="G113" s="932"/>
      <c r="H113" s="935"/>
      <c r="I113" s="933"/>
      <c r="J113" s="933"/>
    </row>
    <row r="114" spans="1:10">
      <c r="A114" s="936"/>
      <c r="B114" s="934"/>
      <c r="C114" s="933"/>
      <c r="D114" s="933"/>
      <c r="E114" s="933"/>
      <c r="F114" s="932"/>
      <c r="G114" s="932"/>
      <c r="H114" s="935"/>
      <c r="I114" s="933"/>
      <c r="J114" s="933"/>
    </row>
    <row r="115" spans="1:10">
      <c r="A115" s="936"/>
      <c r="B115" s="934"/>
      <c r="C115" s="933"/>
      <c r="D115" s="933"/>
      <c r="E115" s="933"/>
      <c r="F115" s="932"/>
      <c r="G115" s="932"/>
      <c r="H115" s="935"/>
      <c r="I115" s="933"/>
      <c r="J115" s="933"/>
    </row>
    <row r="116" spans="1:10">
      <c r="A116" s="936"/>
      <c r="B116" s="934"/>
      <c r="C116" s="933"/>
      <c r="D116" s="933"/>
      <c r="E116" s="933"/>
      <c r="F116" s="932"/>
      <c r="G116" s="932"/>
      <c r="H116" s="935"/>
      <c r="I116" s="933"/>
      <c r="J116" s="933"/>
    </row>
    <row r="117" spans="1:10">
      <c r="A117" s="936"/>
      <c r="B117" s="934"/>
      <c r="C117" s="933"/>
      <c r="D117" s="933"/>
      <c r="E117" s="933"/>
      <c r="F117" s="932"/>
      <c r="G117" s="932"/>
      <c r="H117" s="935"/>
      <c r="I117" s="933"/>
      <c r="J117" s="933"/>
    </row>
    <row r="118" spans="1:10">
      <c r="A118" s="936"/>
      <c r="B118" s="934"/>
      <c r="C118" s="933"/>
      <c r="D118" s="933"/>
      <c r="E118" s="933"/>
      <c r="F118" s="932"/>
      <c r="G118" s="932"/>
      <c r="H118" s="935"/>
      <c r="I118" s="933"/>
      <c r="J118" s="933"/>
    </row>
    <row r="119" spans="1:10">
      <c r="A119" s="936"/>
      <c r="B119" s="934"/>
      <c r="C119" s="933"/>
      <c r="D119" s="933"/>
      <c r="E119" s="933"/>
      <c r="F119" s="932"/>
      <c r="G119" s="932"/>
      <c r="H119" s="935"/>
      <c r="I119" s="933"/>
      <c r="J119" s="933"/>
    </row>
  </sheetData>
  <mergeCells count="7">
    <mergeCell ref="A34:G34"/>
    <mergeCell ref="C5:G5"/>
    <mergeCell ref="I5:M5"/>
    <mergeCell ref="A1:M1"/>
    <mergeCell ref="A2:M2"/>
    <mergeCell ref="A3:M3"/>
    <mergeCell ref="A32:M32"/>
  </mergeCells>
  <pageMargins left="0.19685039370078741" right="0.31496062992125984" top="0.78740157480314965" bottom="0.23622047244094491" header="0" footer="0"/>
  <pageSetup scale="72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7897" r:id="rId4">
          <objectPr defaultSize="0" autoPict="0" r:id="rId5">
            <anchor moveWithCells="1" sizeWithCells="1">
              <from>
                <xdr:col>4</xdr:col>
                <xdr:colOff>0</xdr:colOff>
                <xdr:row>35</xdr:row>
                <xdr:rowOff>0</xdr:rowOff>
              </from>
              <to>
                <xdr:col>4</xdr:col>
                <xdr:colOff>0</xdr:colOff>
                <xdr:row>35</xdr:row>
                <xdr:rowOff>50800</xdr:rowOff>
              </to>
            </anchor>
          </objectPr>
        </oleObject>
      </mc:Choice>
      <mc:Fallback>
        <oleObject progId="Word.Picture.8" shapeId="3789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showGridLines="0" view="pageBreakPreview" zoomScale="70" zoomScaleNormal="100" zoomScaleSheetLayoutView="70" workbookViewId="0">
      <selection activeCell="G17" sqref="G17"/>
    </sheetView>
  </sheetViews>
  <sheetFormatPr defaultColWidth="9.81640625" defaultRowHeight="15.5"/>
  <cols>
    <col min="1" max="1" width="51.453125" style="2" customWidth="1"/>
    <col min="2" max="2" width="3.81640625" style="6" customWidth="1"/>
    <col min="3" max="4" width="11.7265625" style="2" customWidth="1"/>
    <col min="5" max="5" width="13.1796875" style="2" bestFit="1" customWidth="1"/>
    <col min="6" max="7" width="11.7265625" style="6" customWidth="1"/>
    <col min="8" max="8" width="9.26953125" style="223" hidden="1" customWidth="1"/>
    <col min="9" max="9" width="9.26953125" style="223" customWidth="1"/>
    <col min="10" max="10" width="4.54296875" style="2" customWidth="1"/>
    <col min="11" max="15" width="11.7265625" style="2" customWidth="1"/>
    <col min="16" max="16" width="10.81640625" style="2" customWidth="1"/>
    <col min="17" max="16384" width="9.81640625" style="2"/>
  </cols>
  <sheetData>
    <row r="1" spans="1:18" ht="39" customHeight="1">
      <c r="A1" s="989" t="s">
        <v>140</v>
      </c>
      <c r="B1" s="989"/>
      <c r="C1" s="989"/>
      <c r="D1" s="989"/>
      <c r="E1" s="989"/>
      <c r="F1" s="989"/>
      <c r="G1" s="989"/>
      <c r="H1" s="989"/>
      <c r="I1" s="989"/>
      <c r="J1" s="989"/>
      <c r="K1" s="244"/>
      <c r="L1" s="244"/>
      <c r="M1" s="244"/>
      <c r="N1" s="244"/>
      <c r="O1" s="244"/>
      <c r="P1" s="244"/>
      <c r="Q1" s="244"/>
    </row>
    <row r="2" spans="1:18" ht="15" customHeight="1">
      <c r="A2" s="974" t="s">
        <v>22</v>
      </c>
      <c r="B2" s="974"/>
      <c r="C2" s="974"/>
      <c r="D2" s="974"/>
      <c r="E2" s="974"/>
      <c r="F2" s="974"/>
      <c r="G2" s="974"/>
      <c r="H2" s="974"/>
      <c r="I2" s="974"/>
      <c r="J2" s="974"/>
      <c r="K2" s="230"/>
      <c r="L2" s="230"/>
      <c r="M2" s="230"/>
      <c r="N2" s="230"/>
      <c r="O2" s="230"/>
      <c r="P2" s="230"/>
      <c r="Q2" s="230"/>
    </row>
    <row r="3" spans="1:18" ht="15" customHeight="1">
      <c r="A3" s="990" t="s">
        <v>2</v>
      </c>
      <c r="B3" s="990"/>
      <c r="C3" s="990"/>
      <c r="D3" s="990"/>
      <c r="E3" s="990"/>
      <c r="F3" s="990"/>
      <c r="G3" s="990"/>
      <c r="H3" s="990"/>
      <c r="I3" s="990"/>
      <c r="J3" s="990"/>
      <c r="K3" s="240"/>
      <c r="L3" s="240"/>
      <c r="M3" s="240"/>
      <c r="N3" s="240"/>
      <c r="O3" s="240"/>
      <c r="P3" s="240"/>
      <c r="Q3" s="240"/>
    </row>
    <row r="4" spans="1:18" ht="18">
      <c r="A4" s="975"/>
      <c r="B4" s="975"/>
      <c r="C4" s="975"/>
      <c r="D4" s="975"/>
      <c r="E4" s="975"/>
      <c r="F4" s="975"/>
      <c r="G4" s="975"/>
      <c r="H4" s="975"/>
      <c r="I4" s="975"/>
      <c r="J4" s="975"/>
      <c r="K4" s="4"/>
      <c r="L4" s="4"/>
      <c r="M4" s="4"/>
      <c r="N4" s="4"/>
      <c r="O4" s="6"/>
    </row>
    <row r="5" spans="1:18">
      <c r="A5" s="7"/>
      <c r="B5" s="8"/>
      <c r="C5" s="7"/>
      <c r="D5" s="7"/>
      <c r="E5" s="231"/>
      <c r="F5" s="8"/>
      <c r="G5" s="8"/>
      <c r="H5" s="192"/>
      <c r="I5" s="192"/>
      <c r="J5" s="7"/>
      <c r="K5" s="7"/>
      <c r="L5" s="10"/>
    </row>
    <row r="6" spans="1:18">
      <c r="A6" s="11"/>
      <c r="B6" s="11"/>
      <c r="C6" s="988" t="str">
        <f>+'Consolidado Resultados'!C5:H5</f>
        <v>Por el segundo trimestre de:</v>
      </c>
      <c r="D6" s="988"/>
      <c r="E6" s="988"/>
      <c r="F6" s="988"/>
      <c r="G6" s="988"/>
      <c r="H6" s="235"/>
      <c r="I6" s="235"/>
      <c r="J6" s="236"/>
      <c r="K6" s="988" t="s">
        <v>118</v>
      </c>
      <c r="L6" s="988"/>
      <c r="M6" s="988"/>
      <c r="N6" s="988"/>
      <c r="O6" s="988"/>
      <c r="P6" s="206"/>
    </row>
    <row r="7" spans="1:18">
      <c r="A7" s="14"/>
      <c r="B7" s="15"/>
      <c r="C7" s="90">
        <f>+'Consolidado Resultados'!C6</f>
        <v>2017</v>
      </c>
      <c r="D7" s="17" t="s">
        <v>4</v>
      </c>
      <c r="E7" s="90">
        <f>+'Consolidado Resultados'!E6</f>
        <v>2016</v>
      </c>
      <c r="F7" s="17" t="s">
        <v>4</v>
      </c>
      <c r="G7" s="80" t="s">
        <v>111</v>
      </c>
      <c r="H7" s="17" t="s">
        <v>133</v>
      </c>
      <c r="I7" s="183"/>
      <c r="J7" s="236"/>
      <c r="K7" s="90">
        <v>2015</v>
      </c>
      <c r="L7" s="17" t="s">
        <v>4</v>
      </c>
      <c r="M7" s="90">
        <v>2014</v>
      </c>
      <c r="N7" s="17" t="s">
        <v>4</v>
      </c>
      <c r="O7" s="17" t="s">
        <v>111</v>
      </c>
      <c r="P7" s="17" t="s">
        <v>141</v>
      </c>
      <c r="Q7" s="20"/>
      <c r="R7" s="20"/>
    </row>
    <row r="8" spans="1:18">
      <c r="A8" s="25" t="s">
        <v>5</v>
      </c>
      <c r="B8" s="25"/>
      <c r="C8" s="42">
        <v>0</v>
      </c>
      <c r="D8" s="32" t="e">
        <f>((+C8/C$8)*100)</f>
        <v>#DIV/0!</v>
      </c>
      <c r="E8" s="42">
        <v>0</v>
      </c>
      <c r="F8" s="32" t="e">
        <f>((+E8/E$8)*100)</f>
        <v>#DIV/0!</v>
      </c>
      <c r="G8" s="33" t="e">
        <f t="shared" ref="G8:G16" si="0">IF((((C8/E8)-1)*100)&gt;=100,"N.A.",(IF((((C8/E8)-1)*100)&lt;=-100,"N.A.",(((C8/E8)-1)*100))))</f>
        <v>#DIV/0!</v>
      </c>
      <c r="H8" s="217">
        <v>13.021709519474634</v>
      </c>
      <c r="I8" s="217"/>
      <c r="J8" s="31"/>
      <c r="K8" s="42">
        <v>123811.02099999999</v>
      </c>
      <c r="L8" s="32">
        <f>((+K8/K$8)*100)</f>
        <v>100</v>
      </c>
      <c r="M8" s="42">
        <v>108530.341</v>
      </c>
      <c r="N8" s="32">
        <f>((+M8/M$8)*100)</f>
        <v>100</v>
      </c>
      <c r="O8" s="33">
        <f t="shared" ref="O8:O17" si="1">IF((((K8/M8)-1)*100)&gt;=100,"N.A.",(IF((((K8/M8)-1)*100)&lt;=-100,"N.A.",(((K8/M8)-1)*100))))</f>
        <v>14.079638798886652</v>
      </c>
      <c r="P8" s="217">
        <v>14.079619449458836</v>
      </c>
    </row>
    <row r="9" spans="1:18">
      <c r="A9" s="34" t="s">
        <v>6</v>
      </c>
      <c r="B9" s="25"/>
      <c r="C9" s="42">
        <f>+C8-C10</f>
        <v>0</v>
      </c>
      <c r="D9" s="35" t="e">
        <f>D8-D10</f>
        <v>#DIV/0!</v>
      </c>
      <c r="E9" s="42">
        <f>+E8-E10</f>
        <v>0</v>
      </c>
      <c r="F9" s="35" t="e">
        <f>F8-F10</f>
        <v>#DIV/0!</v>
      </c>
      <c r="G9" s="36" t="e">
        <f t="shared" si="0"/>
        <v>#DIV/0!</v>
      </c>
      <c r="H9" s="217"/>
      <c r="I9" s="217"/>
      <c r="J9" s="31"/>
      <c r="K9" s="42">
        <f>+K8-K10</f>
        <v>79359.992999999988</v>
      </c>
      <c r="L9" s="35">
        <f>L8-L10</f>
        <v>64.099999999999994</v>
      </c>
      <c r="M9" s="42">
        <f>+M8-M10</f>
        <v>70239.218999999997</v>
      </c>
      <c r="N9" s="35">
        <f>N8-N10</f>
        <v>64.7</v>
      </c>
      <c r="O9" s="36">
        <f t="shared" si="1"/>
        <v>12.98530098975046</v>
      </c>
      <c r="P9" s="217"/>
    </row>
    <row r="10" spans="1:18">
      <c r="A10" s="34" t="s">
        <v>7</v>
      </c>
      <c r="B10" s="25"/>
      <c r="C10" s="237">
        <v>0</v>
      </c>
      <c r="D10" s="35" t="e">
        <f>ROUND(((+C10/C$8)*100),1)</f>
        <v>#DIV/0!</v>
      </c>
      <c r="E10" s="237">
        <v>0</v>
      </c>
      <c r="F10" s="35" t="e">
        <f>ROUND(((+E10/E$8)*100),1)</f>
        <v>#DIV/0!</v>
      </c>
      <c r="G10" s="36" t="e">
        <f t="shared" si="0"/>
        <v>#DIV/0!</v>
      </c>
      <c r="H10" s="233"/>
      <c r="I10" s="88"/>
      <c r="J10" s="31"/>
      <c r="K10" s="237">
        <v>44451.027999999998</v>
      </c>
      <c r="L10" s="35">
        <f>ROUND(((+K10/K$8)*100),1)</f>
        <v>35.9</v>
      </c>
      <c r="M10" s="237">
        <v>38291.122000000003</v>
      </c>
      <c r="N10" s="35">
        <f>ROUND(((+M10/M$8)*100),1)</f>
        <v>35.299999999999997</v>
      </c>
      <c r="O10" s="36">
        <f t="shared" si="1"/>
        <v>16.087034482823448</v>
      </c>
      <c r="P10" s="123"/>
    </row>
    <row r="11" spans="1:18">
      <c r="A11" s="44" t="s">
        <v>34</v>
      </c>
      <c r="B11" s="21"/>
      <c r="C11" s="42">
        <v>0</v>
      </c>
      <c r="D11" s="32" t="e">
        <f>ROUND(((+C11/C$8)*100),1)</f>
        <v>#DIV/0!</v>
      </c>
      <c r="E11" s="42">
        <v>0</v>
      </c>
      <c r="F11" s="32" t="e">
        <f>ROUND(((+E11/E$8)*100),1)</f>
        <v>#DIV/0!</v>
      </c>
      <c r="G11" s="33" t="e">
        <f t="shared" si="0"/>
        <v>#DIV/0!</v>
      </c>
      <c r="H11" s="226" t="e">
        <f>D10-F10</f>
        <v>#DIV/0!</v>
      </c>
      <c r="I11" s="226"/>
      <c r="J11" s="159"/>
      <c r="K11" s="42">
        <v>2551.84</v>
      </c>
      <c r="L11" s="32">
        <f>ROUND(((+K11/K$8)*100),1)</f>
        <v>2.1</v>
      </c>
      <c r="M11" s="42">
        <v>2021.078</v>
      </c>
      <c r="N11" s="32">
        <f>ROUND(((+M11/M$8)*100),1)</f>
        <v>1.9</v>
      </c>
      <c r="O11" s="33">
        <f t="shared" si="1"/>
        <v>26.261331823907842</v>
      </c>
      <c r="P11" s="226"/>
    </row>
    <row r="12" spans="1:18">
      <c r="A12" s="44" t="s">
        <v>35</v>
      </c>
      <c r="B12" s="21"/>
      <c r="C12" s="42">
        <f>+C10-C11-C13-C14</f>
        <v>0</v>
      </c>
      <c r="D12" s="32" t="e">
        <f>+D10-D11-D14-D13</f>
        <v>#DIV/0!</v>
      </c>
      <c r="E12" s="42">
        <f>+E10-E11-E13-E14</f>
        <v>0</v>
      </c>
      <c r="F12" s="32" t="e">
        <f>+F10-F11-F14-F13</f>
        <v>#DIV/0!</v>
      </c>
      <c r="G12" s="33" t="e">
        <f t="shared" si="0"/>
        <v>#DIV/0!</v>
      </c>
      <c r="H12" s="227" t="e">
        <f>(((C12+C11+C13)/(E11+E12+E13))-1)*100</f>
        <v>#DIV/0!</v>
      </c>
      <c r="I12" s="227"/>
      <c r="J12" s="31"/>
      <c r="K12" s="42">
        <v>31305.566999999999</v>
      </c>
      <c r="L12" s="32">
        <f>+L10-L11-L14-L13</f>
        <v>25.2</v>
      </c>
      <c r="M12" s="42">
        <f>+M10-M11-M13-M14</f>
        <v>27639.637999999999</v>
      </c>
      <c r="N12" s="32">
        <f>+N10-N11-N14-N13</f>
        <v>25.4</v>
      </c>
      <c r="O12" s="33">
        <f t="shared" si="1"/>
        <v>13.26330323139544</v>
      </c>
      <c r="P12" s="227"/>
    </row>
    <row r="13" spans="1:18">
      <c r="A13" s="25" t="s">
        <v>75</v>
      </c>
      <c r="B13" s="25"/>
      <c r="C13" s="42">
        <v>0</v>
      </c>
      <c r="D13" s="88" t="e">
        <f>ROUND(((+C13/C$8)*100),1)</f>
        <v>#DIV/0!</v>
      </c>
      <c r="E13" s="116">
        <v>0</v>
      </c>
      <c r="F13" s="32" t="e">
        <f>ROUND(((+E13/E$8)*100),1)</f>
        <v>#DIV/0!</v>
      </c>
      <c r="G13" s="184" t="e">
        <f t="shared" si="0"/>
        <v>#DIV/0!</v>
      </c>
      <c r="H13" s="218"/>
      <c r="I13" s="218"/>
      <c r="J13" s="31"/>
      <c r="K13" s="42">
        <v>236.57900000000001</v>
      </c>
      <c r="L13" s="32">
        <f>ROUND(((+K13/K$8)*100),1)</f>
        <v>0.2</v>
      </c>
      <c r="M13" s="42">
        <v>171.24799999999999</v>
      </c>
      <c r="N13" s="32">
        <f>ROUND(((+M13/M$8)*100),1)</f>
        <v>0.2</v>
      </c>
      <c r="O13" s="33">
        <f t="shared" si="1"/>
        <v>38.149934597776337</v>
      </c>
      <c r="P13" s="218"/>
    </row>
    <row r="14" spans="1:18" s="76" customFormat="1">
      <c r="A14" s="124" t="s">
        <v>72</v>
      </c>
      <c r="B14" s="125"/>
      <c r="C14" s="122">
        <v>0</v>
      </c>
      <c r="D14" s="123" t="e">
        <f>ROUND(((+C14/C$8)*100),1)</f>
        <v>#DIV/0!</v>
      </c>
      <c r="E14" s="122">
        <v>0</v>
      </c>
      <c r="F14" s="123" t="e">
        <f>ROUND(((+E14/E$8)*100),1)</f>
        <v>#DIV/0!</v>
      </c>
      <c r="G14" s="174" t="e">
        <f t="shared" si="0"/>
        <v>#DIV/0!</v>
      </c>
      <c r="H14" s="219">
        <v>19.42016934381272</v>
      </c>
      <c r="I14" s="184"/>
      <c r="J14" s="115"/>
      <c r="K14" s="122">
        <v>10357.040999999999</v>
      </c>
      <c r="L14" s="123">
        <f>ROUND(((+K14/K$8)*100),1)</f>
        <v>8.4</v>
      </c>
      <c r="M14" s="122">
        <v>8459.1580000000013</v>
      </c>
      <c r="N14" s="123">
        <f>ROUND(((+M14/M$8)*100),1)</f>
        <v>7.8</v>
      </c>
      <c r="O14" s="174">
        <f t="shared" si="1"/>
        <v>22.435838176801969</v>
      </c>
      <c r="P14" s="174">
        <v>22.435353494993215</v>
      </c>
    </row>
    <row r="15" spans="1:18" ht="15.75" customHeight="1">
      <c r="A15" s="6" t="s">
        <v>17</v>
      </c>
      <c r="C15" s="42">
        <v>0</v>
      </c>
      <c r="D15" s="62" t="e">
        <f>ROUND(((+C15/C$8)*100),1)</f>
        <v>#DIV/0!</v>
      </c>
      <c r="E15" s="42">
        <v>0</v>
      </c>
      <c r="F15" s="62" t="e">
        <f>ROUND(((+E15/E$8)*100),1)</f>
        <v>#DIV/0!</v>
      </c>
      <c r="G15" s="175" t="e">
        <f t="shared" si="0"/>
        <v>#DIV/0!</v>
      </c>
      <c r="H15" s="220"/>
      <c r="I15" s="241"/>
      <c r="J15" s="115"/>
      <c r="K15" s="42">
        <v>3063.7660000000001</v>
      </c>
      <c r="L15" s="62">
        <f>ROUND(((+K15/K$8)*100),1)</f>
        <v>2.5</v>
      </c>
      <c r="M15" s="42">
        <v>2723.8690000000001</v>
      </c>
      <c r="N15" s="62">
        <f>ROUND(((+M15/M$8)*100),1)</f>
        <v>2.5</v>
      </c>
      <c r="O15" s="175">
        <f t="shared" si="1"/>
        <v>12.47846353844475</v>
      </c>
      <c r="P15" s="220"/>
    </row>
    <row r="16" spans="1:18" ht="15.75" customHeight="1">
      <c r="A16" s="64" t="s">
        <v>76</v>
      </c>
      <c r="B16" s="25"/>
      <c r="C16" s="238">
        <f>+C17-C15-C14</f>
        <v>0</v>
      </c>
      <c r="D16" s="62" t="e">
        <f>D17-D14-D15</f>
        <v>#DIV/0!</v>
      </c>
      <c r="E16" s="239">
        <f>+E17-E14-E15</f>
        <v>0</v>
      </c>
      <c r="F16" s="62" t="e">
        <f>F17-F14-F15</f>
        <v>#DIV/0!</v>
      </c>
      <c r="G16" s="224" t="e">
        <f t="shared" si="0"/>
        <v>#DIV/0!</v>
      </c>
      <c r="H16" s="221"/>
      <c r="I16" s="242"/>
      <c r="J16" s="115"/>
      <c r="K16" s="50">
        <f>+K17-K15-K14</f>
        <v>415.71600000000035</v>
      </c>
      <c r="L16" s="62">
        <f>L17-L14-L15</f>
        <v>0.29999999999999893</v>
      </c>
      <c r="M16" s="50">
        <f>+M17-M15-M14</f>
        <v>293.16099999999824</v>
      </c>
      <c r="N16" s="62">
        <f>N17-N14-N15</f>
        <v>0.29999999999999982</v>
      </c>
      <c r="O16" s="184">
        <f t="shared" si="1"/>
        <v>41.80467388227045</v>
      </c>
      <c r="P16" s="221"/>
    </row>
    <row r="17" spans="1:16" ht="15.75" customHeight="1">
      <c r="A17" s="67" t="s">
        <v>63</v>
      </c>
      <c r="B17" s="25"/>
      <c r="C17" s="42">
        <v>0</v>
      </c>
      <c r="D17" s="69" t="e">
        <f>ROUND(((+C17/C$8)*100),1)</f>
        <v>#DIV/0!</v>
      </c>
      <c r="E17" s="232">
        <v>0</v>
      </c>
      <c r="F17" s="69" t="e">
        <f>ROUND(((+E17/E$8)*100),1)</f>
        <v>#DIV/0!</v>
      </c>
      <c r="G17" s="176" t="e">
        <f>IF((((C17/E17)-1)*100)&gt;=100,"N.A.",(IF((((C17/E17)-1)*100)&lt;=-100,"N.A.",(((C17/E17)-1)*100))))-0.01</f>
        <v>#DIV/0!</v>
      </c>
      <c r="H17" s="222">
        <v>18.943610961323643</v>
      </c>
      <c r="I17" s="243"/>
      <c r="J17" s="31"/>
      <c r="K17" s="42">
        <v>13836.522999999999</v>
      </c>
      <c r="L17" s="69">
        <f>ROUND(((+K17/K$8)*100),1)</f>
        <v>11.2</v>
      </c>
      <c r="M17" s="42">
        <v>11476.188</v>
      </c>
      <c r="N17" s="69">
        <f>ROUND(((+M17/M$8)*100),1)</f>
        <v>10.6</v>
      </c>
      <c r="O17" s="176">
        <f t="shared" si="1"/>
        <v>20.567238877578497</v>
      </c>
      <c r="P17" s="176">
        <v>20.571395310010598</v>
      </c>
    </row>
    <row r="18" spans="1:16">
      <c r="E18" s="86"/>
      <c r="F18" s="234"/>
    </row>
  </sheetData>
  <mergeCells count="6">
    <mergeCell ref="A4:J4"/>
    <mergeCell ref="C6:G6"/>
    <mergeCell ref="K6:O6"/>
    <mergeCell ref="A1:J1"/>
    <mergeCell ref="A2:J2"/>
    <mergeCell ref="A3:J3"/>
  </mergeCells>
  <printOptions horizontalCentered="1"/>
  <pageMargins left="0.43307086614173229" right="0.31496062992125984" top="0.78740157480314965" bottom="0.23622047244094491" header="0" footer="0"/>
  <pageSetup scale="75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5841" r:id="rId4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5841" r:id="rId4"/>
      </mc:Fallback>
    </mc:AlternateContent>
    <mc:AlternateContent xmlns:mc="http://schemas.openxmlformats.org/markup-compatibility/2006">
      <mc:Choice Requires="x14">
        <oleObject progId="Word.Picture.8" shapeId="35842" r:id="rId6">
          <objectPr defaultSize="0" autoPict="0" r:id="rId5">
            <anchor moveWithCells="1" sizeWithCells="1">
              <from>
                <xdr:col>4</xdr:col>
                <xdr:colOff>0</xdr:colOff>
                <xdr:row>17</xdr:row>
                <xdr:rowOff>0</xdr:rowOff>
              </from>
              <to>
                <xdr:col>4</xdr:col>
                <xdr:colOff>0</xdr:colOff>
                <xdr:row>17</xdr:row>
                <xdr:rowOff>0</xdr:rowOff>
              </to>
            </anchor>
          </objectPr>
        </oleObject>
      </mc:Choice>
      <mc:Fallback>
        <oleObject progId="Word.Picture.8" shapeId="35842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Consolidado Resultados</vt:lpstr>
      <vt:lpstr> Consolidado Balance</vt:lpstr>
      <vt:lpstr>Consolidado Resultados Ajustes</vt:lpstr>
      <vt:lpstr>Consolidado Trim Ajustes</vt:lpstr>
      <vt:lpstr>Consolidado Resultados Orgánico</vt:lpstr>
      <vt:lpstr>FEMSA Comercio-Div Comercial</vt:lpstr>
      <vt:lpstr>FEMSA Comercio-Div Salud</vt:lpstr>
      <vt:lpstr>FEMSA Comercio-Div Combustibles</vt:lpstr>
      <vt:lpstr>FEMCO Comercial Org</vt:lpstr>
      <vt:lpstr>FEMCO OXXO</vt:lpstr>
      <vt:lpstr>Coca-Cola FEMSA</vt:lpstr>
      <vt:lpstr>Otros indicadores</vt:lpstr>
      <vt:lpstr>Variaciones</vt:lpstr>
      <vt:lpstr>' Consolidado Balance'!Print_Area</vt:lpstr>
      <vt:lpstr>'Coca-Cola FEMSA'!Print_Area</vt:lpstr>
      <vt:lpstr>'Consolidado Resultados'!Print_Area</vt:lpstr>
      <vt:lpstr>'Consolidado Resultados Ajustes'!Print_Area</vt:lpstr>
      <vt:lpstr>'Consolidado Resultados Orgánico'!Print_Area</vt:lpstr>
      <vt:lpstr>'FEMCO Comercial Org'!Print_Area</vt:lpstr>
      <vt:lpstr>'FEMCO OXXO'!Print_Area</vt:lpstr>
      <vt:lpstr>'FEMSA Comercio-Div Combustibles'!Print_Area</vt:lpstr>
      <vt:lpstr>'FEMSA Comercio-Div Comercial'!Print_Area</vt:lpstr>
      <vt:lpstr>'FEMSA Comercio-Div Salud'!Print_Area</vt:lpstr>
      <vt:lpstr>'Otros indicadores'!Print_Area</vt:lpstr>
      <vt:lpstr>Variaciones!Print_Area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Manero Martínez Jose Enrique</cp:lastModifiedBy>
  <cp:lastPrinted>2017-07-24T23:25:42Z</cp:lastPrinted>
  <dcterms:created xsi:type="dcterms:W3CDTF">2011-12-21T23:50:30Z</dcterms:created>
  <dcterms:modified xsi:type="dcterms:W3CDTF">2017-07-25T03:46:10Z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